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StageTimes_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<sst xmlns="http://schemas.openxmlformats.org/spreadsheetml/2006/main" count="436" uniqueCount="241">
  <si>
    <t>CarNo</t>
  </si>
  <si>
    <t>Driver Surname</t>
  </si>
  <si>
    <t xml:space="preserve"> Driver Firstname</t>
  </si>
  <si>
    <t xml:space="preserve"> CoDriver Surname</t>
  </si>
  <si>
    <t xml:space="preserve"> CoDriverFirstname</t>
  </si>
  <si>
    <t xml:space="preserve"> Make</t>
  </si>
  <si>
    <t xml:space="preserve"> Model</t>
  </si>
  <si>
    <t>Y</t>
  </si>
  <si>
    <t>BATES</t>
  </si>
  <si>
    <t>Harry</t>
  </si>
  <si>
    <t>McCARTHY</t>
  </si>
  <si>
    <t>John</t>
  </si>
  <si>
    <t>Toyota</t>
  </si>
  <si>
    <t>Yaris AP4</t>
  </si>
  <si>
    <t>TAYLOR</t>
  </si>
  <si>
    <t>Molly</t>
  </si>
  <si>
    <t>READ</t>
  </si>
  <si>
    <t>Malcolm</t>
  </si>
  <si>
    <t>Subaru</t>
  </si>
  <si>
    <t>WRX Sti</t>
  </si>
  <si>
    <t>Lewis</t>
  </si>
  <si>
    <t>McLOUGHLIN</t>
  </si>
  <si>
    <t>Anthony</t>
  </si>
  <si>
    <t>DWYER</t>
  </si>
  <si>
    <t>Declan</t>
  </si>
  <si>
    <t>ADAMS</t>
  </si>
  <si>
    <t>Craig</t>
  </si>
  <si>
    <t>Mitsubishi</t>
  </si>
  <si>
    <t>EVO 6</t>
  </si>
  <si>
    <t>O'DOWD</t>
  </si>
  <si>
    <t>FEAVER</t>
  </si>
  <si>
    <t>Toni</t>
  </si>
  <si>
    <t>Skoda</t>
  </si>
  <si>
    <t>Fabia</t>
  </si>
  <si>
    <t>ANEAR</t>
  </si>
  <si>
    <t>Luke</t>
  </si>
  <si>
    <t>SARANDIS</t>
  </si>
  <si>
    <t>Andy</t>
  </si>
  <si>
    <t>Ford</t>
  </si>
  <si>
    <t>Fiesta</t>
  </si>
  <si>
    <t>ADMIRAAL</t>
  </si>
  <si>
    <t>Zayne</t>
  </si>
  <si>
    <t>HEYWOOD</t>
  </si>
  <si>
    <t>Matthew</t>
  </si>
  <si>
    <t>WRX</t>
  </si>
  <si>
    <t>CALDER</t>
  </si>
  <si>
    <t>Ben</t>
  </si>
  <si>
    <t>GLENNEY</t>
  </si>
  <si>
    <t>Steve</t>
  </si>
  <si>
    <t>Impreza WRX STI</t>
  </si>
  <si>
    <t>TYLER</t>
  </si>
  <si>
    <t>Guy</t>
  </si>
  <si>
    <t>DALE</t>
  </si>
  <si>
    <t>Mike</t>
  </si>
  <si>
    <t>EVO 7</t>
  </si>
  <si>
    <t>SELLEY</t>
  </si>
  <si>
    <t>McKENDERICK</t>
  </si>
  <si>
    <t>Haimish</t>
  </si>
  <si>
    <t>Escort Mk2</t>
  </si>
  <si>
    <t>POHLNER</t>
  </si>
  <si>
    <t>Jamie</t>
  </si>
  <si>
    <t>BRANFORD</t>
  </si>
  <si>
    <t>Adam</t>
  </si>
  <si>
    <t>MASON</t>
  </si>
  <si>
    <t>Wayne</t>
  </si>
  <si>
    <t>LANGFIELD</t>
  </si>
  <si>
    <t>David</t>
  </si>
  <si>
    <t>POVEY</t>
  </si>
  <si>
    <t>Mark</t>
  </si>
  <si>
    <t>DEARMAN</t>
  </si>
  <si>
    <t>Brendan</t>
  </si>
  <si>
    <t>Datsun</t>
  </si>
  <si>
    <t>Stanza</t>
  </si>
  <si>
    <t>HOFF</t>
  </si>
  <si>
    <t>Simon</t>
  </si>
  <si>
    <t>Renee</t>
  </si>
  <si>
    <t>LENNANE</t>
  </si>
  <si>
    <t>Jason</t>
  </si>
  <si>
    <t>LOCKLEY</t>
  </si>
  <si>
    <t>Jasmine</t>
  </si>
  <si>
    <t>Proton</t>
  </si>
  <si>
    <t>Satria</t>
  </si>
  <si>
    <t>HAYSMAN</t>
  </si>
  <si>
    <t>BUSBY</t>
  </si>
  <si>
    <t>Michael</t>
  </si>
  <si>
    <t>Triumph</t>
  </si>
  <si>
    <t>TR7 V8</t>
  </si>
  <si>
    <t>MEE</t>
  </si>
  <si>
    <t>Stephen</t>
  </si>
  <si>
    <t>LLEWELLYN</t>
  </si>
  <si>
    <t>Rhys</t>
  </si>
  <si>
    <t>Corolla</t>
  </si>
  <si>
    <t>REED</t>
  </si>
  <si>
    <t>Damian</t>
  </si>
  <si>
    <t>NEIGHBOUR</t>
  </si>
  <si>
    <t>Dale</t>
  </si>
  <si>
    <t>Nissan</t>
  </si>
  <si>
    <t>Silvia S13</t>
  </si>
  <si>
    <t>FISHER</t>
  </si>
  <si>
    <t>HISER</t>
  </si>
  <si>
    <t>WRX STI</t>
  </si>
  <si>
    <t>WOHLSTADT</t>
  </si>
  <si>
    <t>Kristian</t>
  </si>
  <si>
    <t>SHORT</t>
  </si>
  <si>
    <t>Alison</t>
  </si>
  <si>
    <t>FIELD</t>
  </si>
  <si>
    <t>Bruce</t>
  </si>
  <si>
    <t>Darrin</t>
  </si>
  <si>
    <t>Alfa Romeo</t>
  </si>
  <si>
    <t>GTV6</t>
  </si>
  <si>
    <t>MOHR</t>
  </si>
  <si>
    <t>Casey</t>
  </si>
  <si>
    <t>SPALDING</t>
  </si>
  <si>
    <t>BACHE</t>
  </si>
  <si>
    <t>Liam</t>
  </si>
  <si>
    <t>Honda</t>
  </si>
  <si>
    <t>Integra</t>
  </si>
  <si>
    <t>PAIX</t>
  </si>
  <si>
    <t>WOODS</t>
  </si>
  <si>
    <t>RAEDEL</t>
  </si>
  <si>
    <t>Kevin</t>
  </si>
  <si>
    <t>FERNIE</t>
  </si>
  <si>
    <t>Doug</t>
  </si>
  <si>
    <t>XR6</t>
  </si>
  <si>
    <t>PICKSTOCK</t>
  </si>
  <si>
    <t>Ethan</t>
  </si>
  <si>
    <t>PHILLIPS</t>
  </si>
  <si>
    <t>Lisi</t>
  </si>
  <si>
    <t>BMW</t>
  </si>
  <si>
    <t>318i</t>
  </si>
  <si>
    <t>HUNT</t>
  </si>
  <si>
    <t>Rob</t>
  </si>
  <si>
    <t>BROWNE</t>
  </si>
  <si>
    <t>Jeremy</t>
  </si>
  <si>
    <t>KNOPKA</t>
  </si>
  <si>
    <t>Paul</t>
  </si>
  <si>
    <t>BRANUM</t>
  </si>
  <si>
    <t>Neil</t>
  </si>
  <si>
    <t>POWELL</t>
  </si>
  <si>
    <t>Rick</t>
  </si>
  <si>
    <t>HEIMSOHN</t>
  </si>
  <si>
    <t>Karien</t>
  </si>
  <si>
    <t>EDGE</t>
  </si>
  <si>
    <t>STRAUS</t>
  </si>
  <si>
    <t>Anja</t>
  </si>
  <si>
    <t>HARRIES</t>
  </si>
  <si>
    <t>Carwyn</t>
  </si>
  <si>
    <t>PFITZNER</t>
  </si>
  <si>
    <t>Tom</t>
  </si>
  <si>
    <t>Legacy</t>
  </si>
  <si>
    <t>BENNET</t>
  </si>
  <si>
    <t>Chris</t>
  </si>
  <si>
    <t>ROWE</t>
  </si>
  <si>
    <t>SMITH</t>
  </si>
  <si>
    <t>Brian</t>
  </si>
  <si>
    <t>GLOVER</t>
  </si>
  <si>
    <t>Douglas</t>
  </si>
  <si>
    <t>Mazda</t>
  </si>
  <si>
    <t>RX7</t>
  </si>
  <si>
    <t>NIXON</t>
  </si>
  <si>
    <t>McGOUGH</t>
  </si>
  <si>
    <t>Jim</t>
  </si>
  <si>
    <t>CAMPBELL</t>
  </si>
  <si>
    <t>Glenn</t>
  </si>
  <si>
    <t>AMBROSE</t>
  </si>
  <si>
    <t>Darran</t>
  </si>
  <si>
    <t>Micra</t>
  </si>
  <si>
    <t>Stuart</t>
  </si>
  <si>
    <t>Lincoln</t>
  </si>
  <si>
    <t>RS Impreza</t>
  </si>
  <si>
    <t>MICHELMORE</t>
  </si>
  <si>
    <t>BLEY</t>
  </si>
  <si>
    <t>Daniel</t>
  </si>
  <si>
    <t>Fairmont</t>
  </si>
  <si>
    <t>LACEY</t>
  </si>
  <si>
    <t>Aimee</t>
  </si>
  <si>
    <t>SULLIVAN</t>
  </si>
  <si>
    <t>LOMMAN</t>
  </si>
  <si>
    <t>Roger</t>
  </si>
  <si>
    <t>Bluebird</t>
  </si>
  <si>
    <t>Emma</t>
  </si>
  <si>
    <t>Ross</t>
  </si>
  <si>
    <t>Skyline R31</t>
  </si>
  <si>
    <t>Adrian</t>
  </si>
  <si>
    <t>Holden</t>
  </si>
  <si>
    <t>Commodore VX</t>
  </si>
  <si>
    <t>WHITE</t>
  </si>
  <si>
    <t>Nick</t>
  </si>
  <si>
    <t>180B SSS</t>
  </si>
  <si>
    <t>BISSELL</t>
  </si>
  <si>
    <t>Matt</t>
  </si>
  <si>
    <t>Lachlan</t>
  </si>
  <si>
    <t>WALLIS</t>
  </si>
  <si>
    <t>Graham</t>
  </si>
  <si>
    <t>Citroen</t>
  </si>
  <si>
    <t>Xsara VTS</t>
  </si>
  <si>
    <t>RIPPON</t>
  </si>
  <si>
    <t>Jaxon</t>
  </si>
  <si>
    <t>SKINNER</t>
  </si>
  <si>
    <t>TILLETT</t>
  </si>
  <si>
    <t>TBA</t>
  </si>
  <si>
    <t>Volkswagen</t>
  </si>
  <si>
    <t>Golf Gti</t>
  </si>
  <si>
    <t>BLAKEMORE</t>
  </si>
  <si>
    <t>STILLING</t>
  </si>
  <si>
    <t>Trevor</t>
  </si>
  <si>
    <t>BIGGAR</t>
  </si>
  <si>
    <t>Larisa</t>
  </si>
  <si>
    <t>Silvia</t>
  </si>
  <si>
    <t>Missed Stages</t>
  </si>
  <si>
    <t>Allocated Times</t>
  </si>
  <si>
    <t>Stage 16 cancelled</t>
  </si>
  <si>
    <t>ARC</t>
  </si>
  <si>
    <t>ARC2</t>
  </si>
  <si>
    <t>SARC</t>
  </si>
  <si>
    <t>STATE OF ORIGIN</t>
  </si>
  <si>
    <t>CLUBMAN</t>
  </si>
  <si>
    <t>INTRO RALLY</t>
  </si>
  <si>
    <t>CLASSIC CUP</t>
  </si>
  <si>
    <t>2WD/
4WD</t>
  </si>
  <si>
    <t>Adelaide Hills Rally 2019</t>
  </si>
  <si>
    <t>SS20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</si>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</sst>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[$-409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47" fontId="0" fillId="33" borderId="0" xfId="0" applyNumberFormat="1" applyFill="1" applyAlignment="1">
      <alignment/>
    </xf>
    <xf numFmtId="47" fontId="0" fillId="8" borderId="0" xfId="0" applyNumberFormat="1" applyFill="1" applyAlignment="1">
      <alignment/>
    </xf>
    <xf numFmtId="47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/>
    </xf>
    <xf numFmtId="47" fontId="0" fillId="7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0</xdr:rowOff>
    </xdr:from>
    <xdr:to>
      <xdr:col>4</xdr:col>
      <xdr:colOff>295275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675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ry%20Lis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 Entry List Format"/>
      <sheetName val="2019 import"/>
      <sheetName val="Entry"/>
      <sheetName val="Awards"/>
      <sheetName val="ARC EP"/>
      <sheetName val="H1S1"/>
      <sheetName val="H2S6"/>
      <sheetName val="SARC EP"/>
      <sheetName val="ARC 2WD EP"/>
      <sheetName val="COC_ARC"/>
      <sheetName val="labels"/>
      <sheetName val="StageWins"/>
      <sheetName val="Stage lengths"/>
      <sheetName val="Legend"/>
      <sheetName val="StageTimes"/>
      <sheetName val="SPI"/>
      <sheetName val="RallySprint"/>
    </sheetNames>
    <sheetDataSet>
      <sheetData sheetId="3">
        <row r="2">
          <cell r="B2">
            <v>1</v>
          </cell>
          <cell r="C2" t="str">
            <v>Toyota Gazoo Racing Australia</v>
          </cell>
          <cell r="E2" t="str">
            <v>Harry</v>
          </cell>
          <cell r="F2" t="str">
            <v>BATES</v>
          </cell>
          <cell r="G2" t="str">
            <v>ACT</v>
          </cell>
          <cell r="H2" t="str">
            <v>John</v>
          </cell>
          <cell r="I2" t="str">
            <v>McCARTHY</v>
          </cell>
          <cell r="J2" t="str">
            <v>QLD</v>
          </cell>
          <cell r="K2" t="str">
            <v>Toyota</v>
          </cell>
          <cell r="L2" t="str">
            <v>Yaris AP4</v>
          </cell>
          <cell r="M2">
            <v>1</v>
          </cell>
          <cell r="T2">
            <v>1</v>
          </cell>
          <cell r="U2">
            <v>1</v>
          </cell>
          <cell r="AB2">
            <v>5</v>
          </cell>
          <cell r="AC2">
            <v>4</v>
          </cell>
          <cell r="BJ2" t="str">
            <v>AP4</v>
          </cell>
          <cell r="BT2">
            <v>1</v>
          </cell>
          <cell r="BV2">
            <v>4</v>
          </cell>
        </row>
        <row r="3">
          <cell r="B3">
            <v>2</v>
          </cell>
          <cell r="C3" t="str">
            <v>Subaru Do Motorsport</v>
          </cell>
          <cell r="E3" t="str">
            <v>Molly</v>
          </cell>
          <cell r="F3" t="str">
            <v>TAYLOR</v>
          </cell>
          <cell r="G3" t="str">
            <v>NSW</v>
          </cell>
          <cell r="H3" t="str">
            <v>Malcolm</v>
          </cell>
          <cell r="I3" t="str">
            <v>READ</v>
          </cell>
          <cell r="J3" t="str">
            <v>NZ</v>
          </cell>
          <cell r="K3" t="str">
            <v>Subaru</v>
          </cell>
          <cell r="L3" t="str">
            <v>WRX Sti</v>
          </cell>
          <cell r="M3">
            <v>1</v>
          </cell>
          <cell r="T3">
            <v>1</v>
          </cell>
          <cell r="U3">
            <v>1</v>
          </cell>
          <cell r="AB3" t="str">
            <v>P</v>
          </cell>
          <cell r="AC3">
            <v>5</v>
          </cell>
          <cell r="BJ3" t="str">
            <v>P5</v>
          </cell>
          <cell r="BT3">
            <v>1</v>
          </cell>
          <cell r="BV3">
            <v>4</v>
          </cell>
        </row>
        <row r="4">
          <cell r="B4">
            <v>3</v>
          </cell>
          <cell r="C4" t="str">
            <v>Toyota Gazoo Racing Australia</v>
          </cell>
          <cell r="E4" t="str">
            <v>Lewis</v>
          </cell>
          <cell r="F4" t="str">
            <v>BATES</v>
          </cell>
          <cell r="G4" t="str">
            <v>ACT</v>
          </cell>
          <cell r="H4" t="str">
            <v>Anthony</v>
          </cell>
          <cell r="I4" t="str">
            <v>McLOUGHLIN</v>
          </cell>
          <cell r="J4" t="str">
            <v>QLD</v>
          </cell>
          <cell r="K4" t="str">
            <v>Toyota</v>
          </cell>
          <cell r="L4" t="str">
            <v>Yaris AP4</v>
          </cell>
          <cell r="M4">
            <v>1</v>
          </cell>
          <cell r="T4">
            <v>1</v>
          </cell>
          <cell r="U4">
            <v>1</v>
          </cell>
          <cell r="AB4">
            <v>5</v>
          </cell>
          <cell r="AC4">
            <v>4</v>
          </cell>
          <cell r="BJ4" t="str">
            <v>AP4</v>
          </cell>
          <cell r="BT4">
            <v>1</v>
          </cell>
          <cell r="BV4">
            <v>4</v>
          </cell>
        </row>
        <row r="5">
          <cell r="B5">
            <v>4</v>
          </cell>
          <cell r="C5" t="str">
            <v>Tyrepower Blackwood</v>
          </cell>
          <cell r="E5" t="str">
            <v>Declan</v>
          </cell>
          <cell r="F5" t="str">
            <v>DWYER</v>
          </cell>
          <cell r="G5" t="str">
            <v>SA</v>
          </cell>
          <cell r="H5" t="str">
            <v>Craig</v>
          </cell>
          <cell r="I5" t="str">
            <v>ADAMS</v>
          </cell>
          <cell r="J5" t="str">
            <v>SA</v>
          </cell>
          <cell r="K5" t="str">
            <v>Mitsubishi</v>
          </cell>
          <cell r="L5" t="str">
            <v>EVO 6</v>
          </cell>
          <cell r="M5">
            <v>1</v>
          </cell>
          <cell r="N5">
            <v>1</v>
          </cell>
          <cell r="O5">
            <v>1</v>
          </cell>
          <cell r="Q5">
            <v>1</v>
          </cell>
          <cell r="T5">
            <v>1</v>
          </cell>
          <cell r="U5">
            <v>1</v>
          </cell>
          <cell r="AB5" t="str">
            <v>P</v>
          </cell>
          <cell r="AC5">
            <v>6</v>
          </cell>
          <cell r="BJ5" t="str">
            <v>P6</v>
          </cell>
          <cell r="BT5">
            <v>1</v>
          </cell>
          <cell r="BV5">
            <v>4</v>
          </cell>
        </row>
        <row r="6">
          <cell r="B6">
            <v>5</v>
          </cell>
          <cell r="C6" t="str">
            <v>Truck Wholesale WA</v>
          </cell>
          <cell r="E6" t="str">
            <v>John</v>
          </cell>
          <cell r="F6" t="str">
            <v>O'DOWD</v>
          </cell>
          <cell r="G6" t="str">
            <v>WA</v>
          </cell>
          <cell r="H6" t="str">
            <v>Toni</v>
          </cell>
          <cell r="I6" t="str">
            <v>FEAVER</v>
          </cell>
          <cell r="J6" t="str">
            <v>WA</v>
          </cell>
          <cell r="K6" t="str">
            <v>Skoda</v>
          </cell>
          <cell r="L6" t="str">
            <v>Fabia</v>
          </cell>
          <cell r="M6">
            <v>1</v>
          </cell>
          <cell r="N6">
            <v>1</v>
          </cell>
          <cell r="T6">
            <v>1</v>
          </cell>
          <cell r="U6">
            <v>1</v>
          </cell>
          <cell r="AB6">
            <v>3</v>
          </cell>
          <cell r="AC6">
            <v>5</v>
          </cell>
          <cell r="BJ6" t="str">
            <v>R5</v>
          </cell>
          <cell r="BT6">
            <v>1</v>
          </cell>
          <cell r="BV6">
            <v>4</v>
          </cell>
        </row>
        <row r="7">
          <cell r="B7">
            <v>6</v>
          </cell>
          <cell r="C7" t="str">
            <v>AGI Sport</v>
          </cell>
          <cell r="E7" t="str">
            <v>Luke</v>
          </cell>
          <cell r="F7" t="str">
            <v>ANEAR</v>
          </cell>
          <cell r="G7" t="str">
            <v>NSW</v>
          </cell>
          <cell r="H7" t="str">
            <v>Andy</v>
          </cell>
          <cell r="I7" t="str">
            <v>SARANDIS</v>
          </cell>
          <cell r="J7" t="str">
            <v>SA</v>
          </cell>
          <cell r="K7" t="str">
            <v>Ford</v>
          </cell>
          <cell r="L7" t="str">
            <v>Fiesta</v>
          </cell>
          <cell r="M7">
            <v>1</v>
          </cell>
          <cell r="N7">
            <v>1</v>
          </cell>
          <cell r="T7">
            <v>1</v>
          </cell>
          <cell r="U7">
            <v>1</v>
          </cell>
          <cell r="AB7">
            <v>3</v>
          </cell>
          <cell r="AC7">
            <v>5</v>
          </cell>
          <cell r="BJ7" t="str">
            <v>R5</v>
          </cell>
          <cell r="BT7">
            <v>1</v>
          </cell>
          <cell r="BV7">
            <v>4</v>
          </cell>
        </row>
        <row r="8">
          <cell r="B8">
            <v>7</v>
          </cell>
          <cell r="C8" t="str">
            <v>Application Service Provider</v>
          </cell>
          <cell r="E8" t="str">
            <v>Zayne</v>
          </cell>
          <cell r="F8" t="str">
            <v>ADMIRAAL</v>
          </cell>
          <cell r="G8" t="str">
            <v>SA</v>
          </cell>
          <cell r="H8" t="str">
            <v>Matthew</v>
          </cell>
          <cell r="I8" t="str">
            <v>HEYWOOD</v>
          </cell>
          <cell r="J8" t="str">
            <v>SA</v>
          </cell>
          <cell r="K8" t="str">
            <v>Subaru</v>
          </cell>
          <cell r="L8" t="str">
            <v>WRX</v>
          </cell>
          <cell r="M8">
            <v>1</v>
          </cell>
          <cell r="N8">
            <v>1</v>
          </cell>
          <cell r="O8">
            <v>1</v>
          </cell>
          <cell r="T8">
            <v>1</v>
          </cell>
          <cell r="U8">
            <v>1</v>
          </cell>
          <cell r="AB8" t="str">
            <v>P</v>
          </cell>
          <cell r="AC8">
            <v>5</v>
          </cell>
          <cell r="BJ8" t="str">
            <v>P5</v>
          </cell>
          <cell r="BT8">
            <v>1</v>
          </cell>
          <cell r="BV8">
            <v>4</v>
          </cell>
        </row>
        <row r="9">
          <cell r="B9">
            <v>8</v>
          </cell>
          <cell r="C9" t="str">
            <v>Carlin and Gazzard</v>
          </cell>
          <cell r="E9" t="str">
            <v>Aaron</v>
          </cell>
          <cell r="F9" t="str">
            <v>BOWERING</v>
          </cell>
          <cell r="G9" t="str">
            <v>SA</v>
          </cell>
          <cell r="H9" t="str">
            <v>Nathan</v>
          </cell>
          <cell r="I9" t="str">
            <v>LOWE</v>
          </cell>
          <cell r="J9" t="str">
            <v>SA</v>
          </cell>
          <cell r="K9" t="str">
            <v>Subaru</v>
          </cell>
          <cell r="L9" t="str">
            <v>WRX</v>
          </cell>
          <cell r="M9">
            <v>1</v>
          </cell>
          <cell r="N9">
            <v>1</v>
          </cell>
          <cell r="O9">
            <v>1</v>
          </cell>
          <cell r="Q9">
            <v>1</v>
          </cell>
          <cell r="T9">
            <v>1</v>
          </cell>
          <cell r="U9">
            <v>1</v>
          </cell>
          <cell r="AB9" t="str">
            <v>P</v>
          </cell>
          <cell r="AC9">
            <v>6</v>
          </cell>
          <cell r="BJ9" t="str">
            <v>P6</v>
          </cell>
          <cell r="BT9">
            <v>1</v>
          </cell>
          <cell r="BV9">
            <v>4</v>
          </cell>
        </row>
        <row r="10">
          <cell r="B10">
            <v>9</v>
          </cell>
          <cell r="C10" t="str">
            <v>Calder Wealth Management</v>
          </cell>
          <cell r="E10" t="str">
            <v>Ben</v>
          </cell>
          <cell r="F10" t="str">
            <v>CALDER</v>
          </cell>
          <cell r="G10" t="str">
            <v>SA</v>
          </cell>
          <cell r="H10" t="str">
            <v>Steve</v>
          </cell>
          <cell r="I10" t="str">
            <v>GLENNEY</v>
          </cell>
          <cell r="J10" t="str">
            <v>TAS</v>
          </cell>
          <cell r="K10" t="str">
            <v>Subaru</v>
          </cell>
          <cell r="L10" t="str">
            <v>Impreza WRX STI</v>
          </cell>
          <cell r="M10">
            <v>1</v>
          </cell>
          <cell r="N10">
            <v>1</v>
          </cell>
          <cell r="Q10">
            <v>1</v>
          </cell>
          <cell r="T10">
            <v>1</v>
          </cell>
          <cell r="U10">
            <v>1</v>
          </cell>
          <cell r="AB10" t="str">
            <v>P</v>
          </cell>
          <cell r="AC10">
            <v>5</v>
          </cell>
          <cell r="BJ10" t="str">
            <v>P5</v>
          </cell>
          <cell r="BT10">
            <v>1</v>
          </cell>
          <cell r="BV10">
            <v>4</v>
          </cell>
        </row>
        <row r="11">
          <cell r="B11">
            <v>10</v>
          </cell>
          <cell r="C11" t="str">
            <v>Independent Air Solutions</v>
          </cell>
          <cell r="E11" t="str">
            <v>Guy</v>
          </cell>
          <cell r="F11" t="str">
            <v>TYLER</v>
          </cell>
          <cell r="G11" t="str">
            <v>SA</v>
          </cell>
          <cell r="H11" t="str">
            <v>Mike</v>
          </cell>
          <cell r="I11" t="str">
            <v>DALE</v>
          </cell>
          <cell r="J11" t="str">
            <v>SA</v>
          </cell>
          <cell r="K11" t="str">
            <v>Mitsubishi</v>
          </cell>
          <cell r="L11" t="str">
            <v>EVO 7</v>
          </cell>
          <cell r="M11">
            <v>1</v>
          </cell>
          <cell r="N11">
            <v>1</v>
          </cell>
          <cell r="O11">
            <v>1</v>
          </cell>
          <cell r="Q11">
            <v>1</v>
          </cell>
          <cell r="T11">
            <v>1</v>
          </cell>
          <cell r="U11">
            <v>1</v>
          </cell>
          <cell r="AB11" t="str">
            <v>P</v>
          </cell>
          <cell r="AC11">
            <v>5</v>
          </cell>
          <cell r="BJ11" t="str">
            <v>P5</v>
          </cell>
          <cell r="BT11">
            <v>1</v>
          </cell>
          <cell r="BV11">
            <v>4</v>
          </cell>
        </row>
        <row r="12">
          <cell r="B12">
            <v>11</v>
          </cell>
          <cell r="C12" t="str">
            <v>Racecam</v>
          </cell>
          <cell r="E12" t="str">
            <v>Matthew</v>
          </cell>
          <cell r="F12" t="str">
            <v>SELLEY</v>
          </cell>
          <cell r="G12" t="str">
            <v>SA</v>
          </cell>
          <cell r="H12" t="str">
            <v>Haimish</v>
          </cell>
          <cell r="I12" t="str">
            <v>McKENDERICK</v>
          </cell>
          <cell r="J12" t="str">
            <v>SA</v>
          </cell>
          <cell r="K12" t="str">
            <v>Ford</v>
          </cell>
          <cell r="L12" t="str">
            <v>Escort Mk2</v>
          </cell>
          <cell r="M12">
            <v>1</v>
          </cell>
          <cell r="O12">
            <v>1</v>
          </cell>
          <cell r="T12">
            <v>1</v>
          </cell>
          <cell r="U12">
            <v>1</v>
          </cell>
          <cell r="AB12">
            <v>13</v>
          </cell>
          <cell r="AC12" t="str">
            <v>W</v>
          </cell>
          <cell r="BJ12" t="str">
            <v>Inv</v>
          </cell>
          <cell r="BS12">
            <v>1</v>
          </cell>
          <cell r="BV12">
            <v>2</v>
          </cell>
        </row>
        <row r="13">
          <cell r="B13">
            <v>12</v>
          </cell>
          <cell r="C13" t="str">
            <v>Wilson Securit &amp; Locksmiths</v>
          </cell>
          <cell r="E13" t="str">
            <v>Jamie</v>
          </cell>
          <cell r="F13" t="str">
            <v>POHLNER</v>
          </cell>
          <cell r="G13" t="str">
            <v>SA</v>
          </cell>
          <cell r="H13" t="str">
            <v>Adam</v>
          </cell>
          <cell r="I13" t="str">
            <v>BRANFORD</v>
          </cell>
          <cell r="J13" t="str">
            <v>SA</v>
          </cell>
          <cell r="K13" t="str">
            <v>Subaru</v>
          </cell>
          <cell r="L13" t="str">
            <v>WRX</v>
          </cell>
          <cell r="M13">
            <v>1</v>
          </cell>
          <cell r="N13">
            <v>1</v>
          </cell>
          <cell r="O13">
            <v>1</v>
          </cell>
          <cell r="Q13">
            <v>1</v>
          </cell>
          <cell r="T13">
            <v>1</v>
          </cell>
          <cell r="U13">
            <v>1</v>
          </cell>
          <cell r="AB13" t="str">
            <v>P</v>
          </cell>
          <cell r="AC13">
            <v>5</v>
          </cell>
          <cell r="BJ13" t="str">
            <v>P5</v>
          </cell>
          <cell r="BT13">
            <v>1</v>
          </cell>
          <cell r="BV13">
            <v>4</v>
          </cell>
        </row>
        <row r="14">
          <cell r="B14">
            <v>13</v>
          </cell>
          <cell r="C14" t="str">
            <v>Ideal FX</v>
          </cell>
          <cell r="E14" t="str">
            <v>Wayne</v>
          </cell>
          <cell r="F14" t="str">
            <v>MASON</v>
          </cell>
          <cell r="G14" t="str">
            <v>QLD</v>
          </cell>
          <cell r="H14" t="str">
            <v>David</v>
          </cell>
          <cell r="I14" t="str">
            <v>LANGFIELD</v>
          </cell>
          <cell r="J14" t="str">
            <v>SA</v>
          </cell>
          <cell r="K14" t="str">
            <v>Ford</v>
          </cell>
          <cell r="L14" t="str">
            <v>Escort Mk2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T14">
            <v>1</v>
          </cell>
          <cell r="U14">
            <v>1</v>
          </cell>
          <cell r="AB14">
            <v>14</v>
          </cell>
          <cell r="AC14" t="str">
            <v>W</v>
          </cell>
          <cell r="BJ14" t="str">
            <v>Classic</v>
          </cell>
          <cell r="BS14">
            <v>1</v>
          </cell>
          <cell r="BV14">
            <v>2</v>
          </cell>
        </row>
        <row r="15">
          <cell r="B15">
            <v>95</v>
          </cell>
          <cell r="C15" t="str">
            <v>Warehouse Performance   Manning Automotive</v>
          </cell>
          <cell r="E15" t="str">
            <v>Trevor</v>
          </cell>
          <cell r="F15" t="str">
            <v>STILLING</v>
          </cell>
          <cell r="G15" t="str">
            <v>NSW</v>
          </cell>
          <cell r="H15" t="str">
            <v>Larisa</v>
          </cell>
          <cell r="I15" t="str">
            <v>BIGGAR</v>
          </cell>
          <cell r="J15" t="str">
            <v>QLD</v>
          </cell>
          <cell r="K15" t="str">
            <v>Nissan</v>
          </cell>
          <cell r="L15" t="str">
            <v>Silvia </v>
          </cell>
          <cell r="M15">
            <v>1</v>
          </cell>
          <cell r="N15">
            <v>1</v>
          </cell>
          <cell r="Q15">
            <v>1</v>
          </cell>
          <cell r="T15">
            <v>1</v>
          </cell>
          <cell r="U15">
            <v>1</v>
          </cell>
          <cell r="AB15" t="str">
            <v>P</v>
          </cell>
          <cell r="AC15">
            <v>4</v>
          </cell>
          <cell r="BJ15" t="str">
            <v>P4</v>
          </cell>
          <cell r="BS15">
            <v>1</v>
          </cell>
          <cell r="BV15">
            <v>2</v>
          </cell>
        </row>
        <row r="16">
          <cell r="B16">
            <v>15</v>
          </cell>
          <cell r="C16" t="str">
            <v>SA Motorsport Tyres</v>
          </cell>
          <cell r="E16" t="str">
            <v>Mark</v>
          </cell>
          <cell r="F16" t="str">
            <v>POVEY</v>
          </cell>
          <cell r="G16" t="str">
            <v>SA</v>
          </cell>
          <cell r="H16" t="str">
            <v>Brendan</v>
          </cell>
          <cell r="I16" t="str">
            <v>DEARMAN</v>
          </cell>
          <cell r="J16" t="str">
            <v>SA</v>
          </cell>
          <cell r="K16" t="str">
            <v>Datsun</v>
          </cell>
          <cell r="L16" t="str">
            <v>Stanza</v>
          </cell>
          <cell r="M16">
            <v>1</v>
          </cell>
          <cell r="O16">
            <v>1</v>
          </cell>
          <cell r="T16">
            <v>1</v>
          </cell>
          <cell r="U16">
            <v>1</v>
          </cell>
          <cell r="AB16">
            <v>13</v>
          </cell>
          <cell r="AC16" t="str">
            <v>W</v>
          </cell>
          <cell r="BJ16" t="str">
            <v>Inv</v>
          </cell>
          <cell r="BS16">
            <v>1</v>
          </cell>
          <cell r="BV16">
            <v>2</v>
          </cell>
        </row>
        <row r="17">
          <cell r="B17">
            <v>16</v>
          </cell>
          <cell r="C17" t="str">
            <v>Selfstorage St Agnes</v>
          </cell>
          <cell r="E17" t="str">
            <v>Simon</v>
          </cell>
          <cell r="F17" t="str">
            <v>HOFF</v>
          </cell>
          <cell r="G17" t="str">
            <v>SA</v>
          </cell>
          <cell r="H17" t="str">
            <v>Renee</v>
          </cell>
          <cell r="I17" t="str">
            <v>HOFF</v>
          </cell>
          <cell r="J17" t="str">
            <v>SA</v>
          </cell>
          <cell r="K17" t="str">
            <v>Ford</v>
          </cell>
          <cell r="L17" t="str">
            <v>Escort Mk2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T17">
            <v>1</v>
          </cell>
          <cell r="U17">
            <v>1</v>
          </cell>
          <cell r="AB17">
            <v>14</v>
          </cell>
          <cell r="AC17" t="str">
            <v>W</v>
          </cell>
          <cell r="BJ17" t="str">
            <v>Classic</v>
          </cell>
          <cell r="BS17">
            <v>1</v>
          </cell>
          <cell r="BV17">
            <v>2</v>
          </cell>
        </row>
        <row r="18">
          <cell r="B18">
            <v>17</v>
          </cell>
          <cell r="C18" t="str">
            <v>Red Ramia Trading Myrtleford </v>
          </cell>
          <cell r="E18" t="str">
            <v>Jason</v>
          </cell>
          <cell r="F18" t="str">
            <v>LENNANE</v>
          </cell>
          <cell r="G18" t="str">
            <v>VIC</v>
          </cell>
          <cell r="H18" t="str">
            <v>Jasmine</v>
          </cell>
          <cell r="I18" t="str">
            <v>LOCKLEY</v>
          </cell>
          <cell r="J18" t="str">
            <v>VIC</v>
          </cell>
          <cell r="K18" t="str">
            <v>Proton </v>
          </cell>
          <cell r="L18" t="str">
            <v>Satria </v>
          </cell>
          <cell r="M18">
            <v>1</v>
          </cell>
          <cell r="N18">
            <v>1</v>
          </cell>
          <cell r="Q18">
            <v>1</v>
          </cell>
          <cell r="T18">
            <v>1</v>
          </cell>
          <cell r="U18">
            <v>1</v>
          </cell>
          <cell r="AB18" t="str">
            <v>P</v>
          </cell>
          <cell r="AC18">
            <v>3</v>
          </cell>
          <cell r="BJ18" t="str">
            <v>P3</v>
          </cell>
          <cell r="BS18">
            <v>1</v>
          </cell>
          <cell r="BV18">
            <v>2</v>
          </cell>
        </row>
        <row r="19">
          <cell r="B19">
            <v>18</v>
          </cell>
          <cell r="C19" t="str">
            <v>Pump X</v>
          </cell>
          <cell r="E19" t="str">
            <v>Craig</v>
          </cell>
          <cell r="F19" t="str">
            <v>HAYSMAN</v>
          </cell>
          <cell r="G19" t="str">
            <v>SA</v>
          </cell>
          <cell r="H19" t="str">
            <v>Michael</v>
          </cell>
          <cell r="I19" t="str">
            <v>BUSBY</v>
          </cell>
          <cell r="J19" t="str">
            <v>SA</v>
          </cell>
          <cell r="K19" t="str">
            <v>Triumph</v>
          </cell>
          <cell r="L19" t="str">
            <v>TR7 V8</v>
          </cell>
          <cell r="M19">
            <v>1</v>
          </cell>
          <cell r="O19">
            <v>1</v>
          </cell>
          <cell r="P19">
            <v>1</v>
          </cell>
          <cell r="T19">
            <v>1</v>
          </cell>
          <cell r="U19">
            <v>1</v>
          </cell>
          <cell r="AB19">
            <v>6</v>
          </cell>
          <cell r="AC19">
            <v>2</v>
          </cell>
          <cell r="BJ19" t="str">
            <v>C2</v>
          </cell>
          <cell r="BS19">
            <v>1</v>
          </cell>
          <cell r="BV19">
            <v>2</v>
          </cell>
        </row>
        <row r="20">
          <cell r="B20">
            <v>19</v>
          </cell>
          <cell r="C20" t="str">
            <v>Muscle Car Performance Mufflers</v>
          </cell>
          <cell r="E20" t="str">
            <v>Stephen</v>
          </cell>
          <cell r="F20" t="str">
            <v>MEE</v>
          </cell>
          <cell r="G20" t="str">
            <v>SA</v>
          </cell>
          <cell r="H20" t="str">
            <v>Rhys</v>
          </cell>
          <cell r="I20" t="str">
            <v>LLEWELLYN</v>
          </cell>
          <cell r="J20" t="str">
            <v>NSW</v>
          </cell>
          <cell r="K20" t="str">
            <v>Toyota </v>
          </cell>
          <cell r="L20" t="str">
            <v>Corolla</v>
          </cell>
          <cell r="M20">
            <v>1</v>
          </cell>
          <cell r="O20">
            <v>1</v>
          </cell>
          <cell r="Q20">
            <v>1</v>
          </cell>
          <cell r="T20">
            <v>1</v>
          </cell>
          <cell r="U20">
            <v>1</v>
          </cell>
          <cell r="AB20" t="str">
            <v>P</v>
          </cell>
          <cell r="AC20">
            <v>3</v>
          </cell>
          <cell r="BJ20" t="str">
            <v>P3</v>
          </cell>
          <cell r="BS20">
            <v>1</v>
          </cell>
          <cell r="BV20">
            <v>2</v>
          </cell>
        </row>
        <row r="21">
          <cell r="B21">
            <v>20</v>
          </cell>
          <cell r="C21" t="str">
            <v>Frank Reed Conveyancing</v>
          </cell>
          <cell r="E21" t="str">
            <v>Damian</v>
          </cell>
          <cell r="F21" t="str">
            <v>REED</v>
          </cell>
          <cell r="G21" t="str">
            <v>SA</v>
          </cell>
          <cell r="H21" t="str">
            <v>Dale</v>
          </cell>
          <cell r="I21" t="str">
            <v>NEIGHBOUR</v>
          </cell>
          <cell r="J21" t="str">
            <v>SA</v>
          </cell>
          <cell r="K21" t="str">
            <v>Nissan</v>
          </cell>
          <cell r="L21" t="str">
            <v>Silvia S13</v>
          </cell>
          <cell r="M21">
            <v>1</v>
          </cell>
          <cell r="N21">
            <v>1</v>
          </cell>
          <cell r="O21">
            <v>1</v>
          </cell>
          <cell r="Q21">
            <v>1</v>
          </cell>
          <cell r="T21">
            <v>1</v>
          </cell>
          <cell r="U21">
            <v>1</v>
          </cell>
          <cell r="AB21" t="str">
            <v>P</v>
          </cell>
          <cell r="AC21">
            <v>4</v>
          </cell>
          <cell r="BJ21" t="str">
            <v>P4</v>
          </cell>
          <cell r="BS21">
            <v>1</v>
          </cell>
          <cell r="BV21">
            <v>2</v>
          </cell>
        </row>
        <row r="22">
          <cell r="B22">
            <v>21</v>
          </cell>
          <cell r="C22" t="str">
            <v>Jim's Gonna Send It</v>
          </cell>
          <cell r="E22" t="str">
            <v>Steve</v>
          </cell>
          <cell r="F22" t="str">
            <v>FISHER</v>
          </cell>
          <cell r="G22" t="str">
            <v>SA</v>
          </cell>
          <cell r="H22" t="str">
            <v>Steve</v>
          </cell>
          <cell r="I22" t="str">
            <v>HISER</v>
          </cell>
          <cell r="J22" t="str">
            <v>SA</v>
          </cell>
          <cell r="K22" t="str">
            <v>Subaru</v>
          </cell>
          <cell r="L22" t="str">
            <v>WRX STI</v>
          </cell>
          <cell r="M22">
            <v>1</v>
          </cell>
          <cell r="N22">
            <v>1</v>
          </cell>
          <cell r="O22">
            <v>1</v>
          </cell>
          <cell r="Q22">
            <v>1</v>
          </cell>
          <cell r="T22">
            <v>1</v>
          </cell>
          <cell r="U22">
            <v>1</v>
          </cell>
          <cell r="AB22" t="str">
            <v>P</v>
          </cell>
          <cell r="AC22">
            <v>6</v>
          </cell>
          <cell r="BJ22" t="str">
            <v>P6</v>
          </cell>
          <cell r="BT22">
            <v>1</v>
          </cell>
          <cell r="BV22">
            <v>4</v>
          </cell>
        </row>
        <row r="23">
          <cell r="B23">
            <v>22</v>
          </cell>
          <cell r="E23" t="str">
            <v>Kristian</v>
          </cell>
          <cell r="F23" t="str">
            <v>WOHLSTADT</v>
          </cell>
          <cell r="G23" t="str">
            <v>SA</v>
          </cell>
          <cell r="H23" t="str">
            <v>Alison</v>
          </cell>
          <cell r="I23" t="str">
            <v>SHORT</v>
          </cell>
          <cell r="J23" t="str">
            <v>SA</v>
          </cell>
          <cell r="K23" t="str">
            <v>Subaru </v>
          </cell>
          <cell r="L23" t="str">
            <v>WRX</v>
          </cell>
          <cell r="M23">
            <v>1</v>
          </cell>
          <cell r="N23">
            <v>1</v>
          </cell>
          <cell r="O23">
            <v>1</v>
          </cell>
          <cell r="Q23">
            <v>1</v>
          </cell>
          <cell r="T23">
            <v>1</v>
          </cell>
          <cell r="U23">
            <v>1</v>
          </cell>
          <cell r="AB23" t="str">
            <v>P</v>
          </cell>
          <cell r="AC23">
            <v>6</v>
          </cell>
          <cell r="BJ23" t="str">
            <v>P6</v>
          </cell>
          <cell r="BT23">
            <v>1</v>
          </cell>
          <cell r="BV23">
            <v>4</v>
          </cell>
        </row>
        <row r="24">
          <cell r="B24">
            <v>23</v>
          </cell>
          <cell r="C24" t="str">
            <v>Field Auto Race Team</v>
          </cell>
          <cell r="E24" t="str">
            <v>Bruce</v>
          </cell>
          <cell r="F24" t="str">
            <v>FIELD</v>
          </cell>
          <cell r="G24" t="str">
            <v>SA</v>
          </cell>
          <cell r="H24" t="str">
            <v>Darrin</v>
          </cell>
          <cell r="I24" t="str">
            <v>FIELD</v>
          </cell>
          <cell r="J24" t="str">
            <v>SA</v>
          </cell>
          <cell r="K24" t="str">
            <v>Alfa Romeo</v>
          </cell>
          <cell r="L24" t="str">
            <v>GTV6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T24">
            <v>1</v>
          </cell>
          <cell r="U24">
            <v>1</v>
          </cell>
          <cell r="AB24">
            <v>14</v>
          </cell>
          <cell r="AC24" t="str">
            <v>W</v>
          </cell>
          <cell r="BJ24" t="str">
            <v>Classic</v>
          </cell>
          <cell r="BS24">
            <v>1</v>
          </cell>
          <cell r="BV24">
            <v>2</v>
          </cell>
        </row>
        <row r="25">
          <cell r="B25">
            <v>24</v>
          </cell>
          <cell r="C25" t="str">
            <v>Loftia Engineering</v>
          </cell>
          <cell r="E25" t="str">
            <v>Michael</v>
          </cell>
          <cell r="F25" t="str">
            <v>MOHR</v>
          </cell>
          <cell r="G25" t="str">
            <v>SA</v>
          </cell>
          <cell r="H25" t="str">
            <v>Casey</v>
          </cell>
          <cell r="I25" t="str">
            <v>MOHR</v>
          </cell>
          <cell r="J25" t="str">
            <v>SA</v>
          </cell>
          <cell r="K25" t="str">
            <v>Datsun</v>
          </cell>
          <cell r="L25" t="str">
            <v>Stanza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T25">
            <v>1</v>
          </cell>
          <cell r="U25">
            <v>1</v>
          </cell>
          <cell r="AB25">
            <v>14</v>
          </cell>
          <cell r="AC25" t="str">
            <v>W</v>
          </cell>
          <cell r="BJ25" t="str">
            <v>Classic</v>
          </cell>
          <cell r="BS25">
            <v>1</v>
          </cell>
          <cell r="BV25">
            <v>2</v>
          </cell>
        </row>
        <row r="26">
          <cell r="B26">
            <v>25</v>
          </cell>
          <cell r="C26" t="str">
            <v>Autobarn Mt Barker</v>
          </cell>
          <cell r="E26" t="str">
            <v>Molly</v>
          </cell>
          <cell r="F26" t="str">
            <v>SPALDING</v>
          </cell>
          <cell r="G26" t="str">
            <v>SA</v>
          </cell>
          <cell r="H26" t="str">
            <v>Liam</v>
          </cell>
          <cell r="I26" t="str">
            <v>BACHE</v>
          </cell>
          <cell r="J26" t="str">
            <v>SA</v>
          </cell>
          <cell r="K26" t="str">
            <v>Honda</v>
          </cell>
          <cell r="L26" t="str">
            <v>Integra</v>
          </cell>
          <cell r="M26">
            <v>1</v>
          </cell>
          <cell r="O26">
            <v>1</v>
          </cell>
          <cell r="T26">
            <v>1</v>
          </cell>
          <cell r="U26">
            <v>1</v>
          </cell>
          <cell r="AB26">
            <v>13</v>
          </cell>
          <cell r="AC26" t="str">
            <v>W</v>
          </cell>
          <cell r="BJ26" t="str">
            <v>Inv</v>
          </cell>
          <cell r="BS26">
            <v>1</v>
          </cell>
          <cell r="BV26">
            <v>2</v>
          </cell>
        </row>
        <row r="27">
          <cell r="B27">
            <v>26</v>
          </cell>
          <cell r="E27" t="str">
            <v>Bruce</v>
          </cell>
          <cell r="F27" t="str">
            <v>PAIX</v>
          </cell>
          <cell r="G27" t="str">
            <v>SA</v>
          </cell>
          <cell r="H27" t="str">
            <v>Matthew</v>
          </cell>
          <cell r="I27" t="str">
            <v>WOODS</v>
          </cell>
          <cell r="J27" t="str">
            <v>ACT</v>
          </cell>
          <cell r="K27" t="str">
            <v>Ford</v>
          </cell>
          <cell r="L27" t="str">
            <v>Escort Mk2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T27">
            <v>1</v>
          </cell>
          <cell r="U27">
            <v>1</v>
          </cell>
          <cell r="AB27">
            <v>14</v>
          </cell>
          <cell r="AC27" t="str">
            <v>W</v>
          </cell>
          <cell r="BJ27" t="str">
            <v>Classic</v>
          </cell>
          <cell r="BS27">
            <v>1</v>
          </cell>
          <cell r="BV27">
            <v>2</v>
          </cell>
        </row>
        <row r="28">
          <cell r="B28">
            <v>27</v>
          </cell>
          <cell r="C28" t="str">
            <v>Taxi tech</v>
          </cell>
          <cell r="E28" t="str">
            <v>Kevin</v>
          </cell>
          <cell r="F28" t="str">
            <v>RAEDEL</v>
          </cell>
          <cell r="G28" t="str">
            <v>SA</v>
          </cell>
          <cell r="H28" t="str">
            <v>Doug</v>
          </cell>
          <cell r="I28" t="str">
            <v>FERNIE</v>
          </cell>
          <cell r="J28" t="str">
            <v>ACT</v>
          </cell>
          <cell r="K28" t="str">
            <v>Ford </v>
          </cell>
          <cell r="L28" t="str">
            <v>XR6</v>
          </cell>
          <cell r="M28">
            <v>1</v>
          </cell>
          <cell r="N28">
            <v>1</v>
          </cell>
          <cell r="Q28">
            <v>1</v>
          </cell>
          <cell r="T28">
            <v>1</v>
          </cell>
          <cell r="U28">
            <v>1</v>
          </cell>
          <cell r="AB28" t="str">
            <v>P</v>
          </cell>
          <cell r="AC28">
            <v>4</v>
          </cell>
          <cell r="BJ28" t="str">
            <v>P4</v>
          </cell>
          <cell r="BS28">
            <v>1</v>
          </cell>
          <cell r="BV28">
            <v>2</v>
          </cell>
        </row>
        <row r="29">
          <cell r="B29">
            <v>28</v>
          </cell>
          <cell r="C29" t="str">
            <v>Nathan Senior, Pickstock Racing Fabrication, SA Motorsport Tyres, Wurth, Statewide Oil</v>
          </cell>
          <cell r="E29" t="str">
            <v>Ethan</v>
          </cell>
          <cell r="F29" t="str">
            <v>PICKSTOCK</v>
          </cell>
          <cell r="G29" t="str">
            <v>SA</v>
          </cell>
          <cell r="H29" t="str">
            <v>Lisi</v>
          </cell>
          <cell r="I29" t="str">
            <v>PHILLIPS</v>
          </cell>
          <cell r="J29" t="str">
            <v>SA</v>
          </cell>
          <cell r="K29" t="str">
            <v>BMW</v>
          </cell>
          <cell r="L29" t="str">
            <v>318i</v>
          </cell>
          <cell r="M29">
            <v>1</v>
          </cell>
          <cell r="N29">
            <v>1</v>
          </cell>
          <cell r="P29">
            <v>1</v>
          </cell>
          <cell r="Q29">
            <v>1</v>
          </cell>
          <cell r="T29">
            <v>1</v>
          </cell>
          <cell r="U29">
            <v>1</v>
          </cell>
          <cell r="AB29" t="str">
            <v>P</v>
          </cell>
          <cell r="AC29">
            <v>3</v>
          </cell>
          <cell r="BJ29" t="str">
            <v>P3</v>
          </cell>
          <cell r="BS29">
            <v>1</v>
          </cell>
          <cell r="BV29">
            <v>2</v>
          </cell>
        </row>
        <row r="30">
          <cell r="B30">
            <v>29</v>
          </cell>
          <cell r="E30" t="str">
            <v>Rob</v>
          </cell>
          <cell r="F30" t="str">
            <v>HUNT</v>
          </cell>
          <cell r="G30" t="str">
            <v>SA</v>
          </cell>
          <cell r="H30" t="str">
            <v>Jeremy</v>
          </cell>
          <cell r="I30" t="str">
            <v>BROWNE</v>
          </cell>
          <cell r="J30" t="str">
            <v>SA</v>
          </cell>
          <cell r="K30" t="str">
            <v>Mitsubishi</v>
          </cell>
          <cell r="L30" t="str">
            <v>EVO 6</v>
          </cell>
          <cell r="O30">
            <v>1</v>
          </cell>
          <cell r="Q30">
            <v>1</v>
          </cell>
          <cell r="T30">
            <v>1</v>
          </cell>
          <cell r="U30">
            <v>1</v>
          </cell>
          <cell r="AB30" t="str">
            <v>P</v>
          </cell>
          <cell r="AC30">
            <v>6</v>
          </cell>
          <cell r="BJ30" t="str">
            <v>P6</v>
          </cell>
          <cell r="BT30">
            <v>1</v>
          </cell>
          <cell r="BV30">
            <v>4</v>
          </cell>
        </row>
        <row r="31">
          <cell r="B31">
            <v>30</v>
          </cell>
          <cell r="E31" t="str">
            <v>Paul</v>
          </cell>
          <cell r="F31" t="str">
            <v>KNOPKA</v>
          </cell>
          <cell r="G31" t="str">
            <v>SA</v>
          </cell>
          <cell r="H31" t="str">
            <v>Neil</v>
          </cell>
          <cell r="I31" t="str">
            <v>BRANUM</v>
          </cell>
          <cell r="J31" t="str">
            <v>SA</v>
          </cell>
          <cell r="K31" t="str">
            <v>Subaru</v>
          </cell>
          <cell r="L31" t="str">
            <v>WRX</v>
          </cell>
          <cell r="O31">
            <v>1</v>
          </cell>
          <cell r="Q31">
            <v>1</v>
          </cell>
          <cell r="T31">
            <v>1</v>
          </cell>
          <cell r="U31">
            <v>1</v>
          </cell>
          <cell r="AB31" t="str">
            <v>P</v>
          </cell>
          <cell r="AC31">
            <v>5</v>
          </cell>
          <cell r="BJ31" t="str">
            <v>P5</v>
          </cell>
          <cell r="BT31">
            <v>1</v>
          </cell>
          <cell r="BV31">
            <v>4</v>
          </cell>
        </row>
        <row r="32">
          <cell r="B32">
            <v>31</v>
          </cell>
          <cell r="C32" t="str">
            <v>Nisscare</v>
          </cell>
          <cell r="E32" t="str">
            <v>Rick</v>
          </cell>
          <cell r="F32" t="str">
            <v>POWELL</v>
          </cell>
          <cell r="G32" t="str">
            <v>SA</v>
          </cell>
          <cell r="H32" t="str">
            <v>Karien</v>
          </cell>
          <cell r="I32" t="str">
            <v>HEIMSOHN</v>
          </cell>
          <cell r="J32" t="str">
            <v>SA</v>
          </cell>
          <cell r="K32" t="str">
            <v>Subaru</v>
          </cell>
          <cell r="L32" t="str">
            <v>WRX</v>
          </cell>
          <cell r="O32">
            <v>1</v>
          </cell>
          <cell r="Q32">
            <v>1</v>
          </cell>
          <cell r="T32">
            <v>1</v>
          </cell>
          <cell r="U32">
            <v>1</v>
          </cell>
          <cell r="AB32" t="str">
            <v>P</v>
          </cell>
          <cell r="AC32">
            <v>5</v>
          </cell>
          <cell r="BJ32" t="str">
            <v>P5</v>
          </cell>
          <cell r="BT32">
            <v>1</v>
          </cell>
          <cell r="BV32">
            <v>4</v>
          </cell>
        </row>
        <row r="33">
          <cell r="B33">
            <v>32</v>
          </cell>
          <cell r="E33" t="str">
            <v>Rob</v>
          </cell>
          <cell r="F33" t="str">
            <v>EDGE</v>
          </cell>
          <cell r="G33" t="str">
            <v>SA</v>
          </cell>
          <cell r="H33" t="str">
            <v>Anja</v>
          </cell>
          <cell r="I33" t="str">
            <v>STRAUS</v>
          </cell>
          <cell r="J33" t="str">
            <v>SA</v>
          </cell>
          <cell r="K33" t="str">
            <v>Subaru</v>
          </cell>
          <cell r="L33" t="str">
            <v>WRX</v>
          </cell>
          <cell r="O33">
            <v>1</v>
          </cell>
          <cell r="Q33">
            <v>1</v>
          </cell>
          <cell r="T33">
            <v>1</v>
          </cell>
          <cell r="U33">
            <v>1</v>
          </cell>
          <cell r="AB33" t="str">
            <v>P</v>
          </cell>
          <cell r="AC33">
            <v>5</v>
          </cell>
          <cell r="BJ33" t="str">
            <v>P5</v>
          </cell>
          <cell r="BT33">
            <v>1</v>
          </cell>
          <cell r="BV33">
            <v>4</v>
          </cell>
        </row>
        <row r="34">
          <cell r="B34">
            <v>33</v>
          </cell>
          <cell r="C34" t="str">
            <v>Bridge Race and Resto</v>
          </cell>
          <cell r="E34" t="str">
            <v>Carwyn</v>
          </cell>
          <cell r="F34" t="str">
            <v>HARRIES</v>
          </cell>
          <cell r="G34" t="str">
            <v>SA</v>
          </cell>
          <cell r="H34" t="str">
            <v>Tom</v>
          </cell>
          <cell r="I34" t="str">
            <v>PFITZNER</v>
          </cell>
          <cell r="J34" t="str">
            <v>SA</v>
          </cell>
          <cell r="K34" t="str">
            <v>Subaru</v>
          </cell>
          <cell r="L34" t="str">
            <v>Legacy</v>
          </cell>
          <cell r="O34">
            <v>1</v>
          </cell>
          <cell r="Q34">
            <v>1</v>
          </cell>
          <cell r="T34">
            <v>1</v>
          </cell>
          <cell r="U34">
            <v>1</v>
          </cell>
          <cell r="AB34" t="str">
            <v>P</v>
          </cell>
          <cell r="AC34">
            <v>6</v>
          </cell>
          <cell r="BJ34" t="str">
            <v>P6</v>
          </cell>
          <cell r="BT34">
            <v>1</v>
          </cell>
          <cell r="BV34">
            <v>4</v>
          </cell>
        </row>
        <row r="35">
          <cell r="B35">
            <v>34</v>
          </cell>
          <cell r="E35" t="str">
            <v>Chris</v>
          </cell>
          <cell r="F35" t="str">
            <v>BENNET</v>
          </cell>
          <cell r="G35" t="str">
            <v>SA</v>
          </cell>
          <cell r="H35" t="str">
            <v>David</v>
          </cell>
          <cell r="I35" t="str">
            <v>ROWE</v>
          </cell>
          <cell r="J35" t="str">
            <v>SA</v>
          </cell>
          <cell r="K35" t="str">
            <v>Subaru</v>
          </cell>
          <cell r="L35" t="str">
            <v>WRX</v>
          </cell>
          <cell r="O35">
            <v>1</v>
          </cell>
          <cell r="Q35">
            <v>1</v>
          </cell>
          <cell r="T35">
            <v>1</v>
          </cell>
          <cell r="U35">
            <v>1</v>
          </cell>
          <cell r="AB35" t="str">
            <v>P</v>
          </cell>
          <cell r="AC35">
            <v>6</v>
          </cell>
          <cell r="BJ35" t="str">
            <v>P6</v>
          </cell>
          <cell r="BT35">
            <v>1</v>
          </cell>
          <cell r="BV35">
            <v>4</v>
          </cell>
        </row>
        <row r="36">
          <cell r="B36">
            <v>35</v>
          </cell>
          <cell r="E36" t="str">
            <v>Brian</v>
          </cell>
          <cell r="F36" t="str">
            <v>SMITH</v>
          </cell>
          <cell r="G36" t="str">
            <v>SA</v>
          </cell>
          <cell r="H36" t="str">
            <v>Douglas</v>
          </cell>
          <cell r="I36" t="str">
            <v>GLOVER</v>
          </cell>
          <cell r="J36" t="str">
            <v>SA</v>
          </cell>
          <cell r="K36" t="str">
            <v>Mazda</v>
          </cell>
          <cell r="L36" t="str">
            <v>RX7</v>
          </cell>
          <cell r="O36">
            <v>1</v>
          </cell>
          <cell r="T36">
            <v>1</v>
          </cell>
          <cell r="U36">
            <v>1</v>
          </cell>
          <cell r="AB36">
            <v>14</v>
          </cell>
          <cell r="AC36" t="str">
            <v>W</v>
          </cell>
          <cell r="BJ36" t="str">
            <v>Classic</v>
          </cell>
          <cell r="BS36">
            <v>1</v>
          </cell>
          <cell r="BV36">
            <v>2</v>
          </cell>
        </row>
        <row r="37">
          <cell r="B37">
            <v>36</v>
          </cell>
          <cell r="E37" t="str">
            <v>Michael</v>
          </cell>
          <cell r="F37" t="str">
            <v>NIXON</v>
          </cell>
          <cell r="G37" t="str">
            <v>SA</v>
          </cell>
          <cell r="H37" t="str">
            <v>Jim</v>
          </cell>
          <cell r="I37" t="str">
            <v>McGOUGH</v>
          </cell>
          <cell r="J37" t="str">
            <v>SA</v>
          </cell>
          <cell r="K37" t="str">
            <v>Ford</v>
          </cell>
          <cell r="L37" t="str">
            <v>Escort Mk2</v>
          </cell>
          <cell r="O37">
            <v>1</v>
          </cell>
          <cell r="T37">
            <v>1</v>
          </cell>
          <cell r="U37">
            <v>1</v>
          </cell>
          <cell r="AB37">
            <v>14</v>
          </cell>
          <cell r="AC37" t="str">
            <v>W</v>
          </cell>
          <cell r="BJ37" t="str">
            <v>Classic</v>
          </cell>
          <cell r="BS37">
            <v>1</v>
          </cell>
          <cell r="BV37">
            <v>2</v>
          </cell>
        </row>
        <row r="38">
          <cell r="B38">
            <v>37</v>
          </cell>
          <cell r="C38" t="str">
            <v>Bridge Race and Resto</v>
          </cell>
          <cell r="E38" t="str">
            <v>Glenn</v>
          </cell>
          <cell r="F38" t="str">
            <v>CAMPBELL</v>
          </cell>
          <cell r="G38" t="str">
            <v>SA</v>
          </cell>
          <cell r="H38" t="str">
            <v>Darran</v>
          </cell>
          <cell r="I38" t="str">
            <v>AMBROSE</v>
          </cell>
          <cell r="J38" t="str">
            <v>SA</v>
          </cell>
          <cell r="K38" t="str">
            <v>Nissan</v>
          </cell>
          <cell r="L38" t="str">
            <v>Micra</v>
          </cell>
          <cell r="O38">
            <v>1</v>
          </cell>
          <cell r="Q38">
            <v>1</v>
          </cell>
          <cell r="T38">
            <v>1</v>
          </cell>
          <cell r="U38">
            <v>1</v>
          </cell>
          <cell r="AB38" t="str">
            <v>P</v>
          </cell>
          <cell r="AC38">
            <v>1</v>
          </cell>
          <cell r="BJ38" t="str">
            <v>P1</v>
          </cell>
          <cell r="BS38">
            <v>1</v>
          </cell>
          <cell r="BV38">
            <v>2</v>
          </cell>
        </row>
        <row r="39">
          <cell r="B39">
            <v>38</v>
          </cell>
          <cell r="E39" t="str">
            <v>Stuart</v>
          </cell>
          <cell r="F39" t="str">
            <v>BATES</v>
          </cell>
          <cell r="G39" t="str">
            <v>SA</v>
          </cell>
          <cell r="H39" t="str">
            <v>Lincoln</v>
          </cell>
          <cell r="I39" t="str">
            <v>BATES</v>
          </cell>
          <cell r="J39" t="str">
            <v>SA</v>
          </cell>
          <cell r="K39" t="str">
            <v>Subaru</v>
          </cell>
          <cell r="L39" t="str">
            <v>RS Impreza</v>
          </cell>
          <cell r="Q39">
            <v>1</v>
          </cell>
          <cell r="R39">
            <v>1</v>
          </cell>
          <cell r="T39">
            <v>1</v>
          </cell>
          <cell r="U39">
            <v>1</v>
          </cell>
          <cell r="AB39" t="str">
            <v>P</v>
          </cell>
          <cell r="AC39">
            <v>5</v>
          </cell>
          <cell r="BJ39" t="str">
            <v>P5</v>
          </cell>
          <cell r="BT39">
            <v>1</v>
          </cell>
          <cell r="BV39">
            <v>4</v>
          </cell>
        </row>
        <row r="40">
          <cell r="B40">
            <v>39</v>
          </cell>
          <cell r="E40" t="str">
            <v>Criag</v>
          </cell>
          <cell r="F40" t="str">
            <v>MICHELMORE</v>
          </cell>
          <cell r="G40" t="str">
            <v>SA</v>
          </cell>
          <cell r="H40" t="str">
            <v>Daniel</v>
          </cell>
          <cell r="I40" t="str">
            <v>BLEY</v>
          </cell>
          <cell r="J40" t="str">
            <v>SA</v>
          </cell>
          <cell r="K40" t="str">
            <v>Ford </v>
          </cell>
          <cell r="L40" t="str">
            <v>Fairmont</v>
          </cell>
          <cell r="S40">
            <v>1</v>
          </cell>
          <cell r="AB40">
            <v>16</v>
          </cell>
          <cell r="AC40" t="str">
            <v>W</v>
          </cell>
          <cell r="BS40">
            <v>1</v>
          </cell>
          <cell r="BV40">
            <v>2</v>
          </cell>
        </row>
        <row r="41">
          <cell r="B41">
            <v>40</v>
          </cell>
          <cell r="E41" t="str">
            <v>Mark</v>
          </cell>
          <cell r="F41" t="str">
            <v>LACEY</v>
          </cell>
          <cell r="G41" t="str">
            <v>SA</v>
          </cell>
          <cell r="H41" t="str">
            <v>Aimee</v>
          </cell>
          <cell r="I41" t="str">
            <v>LACEY</v>
          </cell>
          <cell r="J41" t="str">
            <v>SA</v>
          </cell>
          <cell r="K41" t="str">
            <v>Ford</v>
          </cell>
          <cell r="L41" t="str">
            <v>Fiesta</v>
          </cell>
          <cell r="S41">
            <v>1</v>
          </cell>
          <cell r="AB41">
            <v>16</v>
          </cell>
          <cell r="AC41" t="str">
            <v>W</v>
          </cell>
          <cell r="BS41">
            <v>1</v>
          </cell>
          <cell r="BV41">
            <v>2</v>
          </cell>
        </row>
        <row r="42">
          <cell r="B42">
            <v>41</v>
          </cell>
          <cell r="E42" t="str">
            <v>Adam</v>
          </cell>
          <cell r="F42" t="str">
            <v>SULLIVAN</v>
          </cell>
          <cell r="G42" t="str">
            <v>SA</v>
          </cell>
          <cell r="H42" t="str">
            <v>Roger</v>
          </cell>
          <cell r="I42" t="str">
            <v>LOMMAN</v>
          </cell>
          <cell r="J42" t="str">
            <v>SA</v>
          </cell>
          <cell r="K42" t="str">
            <v>Datsun</v>
          </cell>
          <cell r="L42" t="str">
            <v>Bluebird</v>
          </cell>
          <cell r="S42">
            <v>1</v>
          </cell>
          <cell r="AB42">
            <v>16</v>
          </cell>
          <cell r="AC42" t="str">
            <v>W</v>
          </cell>
          <cell r="BS42">
            <v>1</v>
          </cell>
          <cell r="BV42">
            <v>2</v>
          </cell>
        </row>
        <row r="43">
          <cell r="B43">
            <v>42</v>
          </cell>
          <cell r="E43" t="str">
            <v>Emma</v>
          </cell>
          <cell r="F43" t="str">
            <v>SMITH</v>
          </cell>
          <cell r="G43" t="str">
            <v>SA</v>
          </cell>
          <cell r="H43" t="str">
            <v>Ross</v>
          </cell>
          <cell r="I43" t="str">
            <v>SMITH</v>
          </cell>
          <cell r="J43" t="str">
            <v>SA</v>
          </cell>
          <cell r="K43" t="str">
            <v>Nissan</v>
          </cell>
          <cell r="L43" t="str">
            <v>Skyline R31</v>
          </cell>
          <cell r="S43">
            <v>1</v>
          </cell>
          <cell r="AB43">
            <v>16</v>
          </cell>
          <cell r="AC43" t="str">
            <v>W</v>
          </cell>
          <cell r="BS43">
            <v>1</v>
          </cell>
          <cell r="BV43">
            <v>2</v>
          </cell>
        </row>
        <row r="44">
          <cell r="B44">
            <v>43</v>
          </cell>
          <cell r="E44" t="str">
            <v>Steve</v>
          </cell>
          <cell r="F44" t="str">
            <v>KNOPKA</v>
          </cell>
          <cell r="G44" t="str">
            <v>SA</v>
          </cell>
          <cell r="H44" t="str">
            <v>Adrian</v>
          </cell>
          <cell r="I44" t="str">
            <v>KNOPKA</v>
          </cell>
          <cell r="J44" t="str">
            <v>SA</v>
          </cell>
          <cell r="K44" t="str">
            <v>Holden</v>
          </cell>
          <cell r="L44" t="str">
            <v>Commodore VX</v>
          </cell>
          <cell r="S44">
            <v>1</v>
          </cell>
          <cell r="AB44">
            <v>16</v>
          </cell>
          <cell r="AC44" t="str">
            <v>W</v>
          </cell>
          <cell r="BS44">
            <v>1</v>
          </cell>
          <cell r="BV44">
            <v>2</v>
          </cell>
        </row>
        <row r="45">
          <cell r="B45">
            <v>44</v>
          </cell>
          <cell r="E45" t="str">
            <v>Nick</v>
          </cell>
          <cell r="F45" t="str">
            <v>WHITE</v>
          </cell>
          <cell r="G45" t="str">
            <v>SA</v>
          </cell>
          <cell r="H45" t="str">
            <v>Anthony</v>
          </cell>
          <cell r="I45" t="str">
            <v>WHITE</v>
          </cell>
          <cell r="J45" t="str">
            <v>SA</v>
          </cell>
          <cell r="K45" t="str">
            <v>Datsun</v>
          </cell>
          <cell r="L45" t="str">
            <v>180B SSS</v>
          </cell>
          <cell r="S45">
            <v>1</v>
          </cell>
          <cell r="AB45">
            <v>16</v>
          </cell>
          <cell r="AC45" t="str">
            <v>W</v>
          </cell>
          <cell r="BS45">
            <v>1</v>
          </cell>
          <cell r="BV45">
            <v>2</v>
          </cell>
        </row>
        <row r="46">
          <cell r="B46">
            <v>39</v>
          </cell>
          <cell r="E46" t="str">
            <v>Craig</v>
          </cell>
          <cell r="F46" t="str">
            <v>MICHELMORE</v>
          </cell>
          <cell r="G46" t="str">
            <v>SA</v>
          </cell>
          <cell r="H46" t="str">
            <v>Daniel</v>
          </cell>
          <cell r="I46" t="str">
            <v>BLEY</v>
          </cell>
          <cell r="J46" t="str">
            <v>SA</v>
          </cell>
          <cell r="K46" t="str">
            <v>Ford </v>
          </cell>
          <cell r="L46" t="str">
            <v>Fairmont</v>
          </cell>
          <cell r="BS46">
            <v>1</v>
          </cell>
          <cell r="BV46">
            <v>2</v>
          </cell>
        </row>
        <row r="47">
          <cell r="B47">
            <v>40</v>
          </cell>
          <cell r="E47" t="str">
            <v>Mark</v>
          </cell>
          <cell r="F47" t="str">
            <v>LACEY</v>
          </cell>
          <cell r="G47" t="str">
            <v>SA</v>
          </cell>
          <cell r="H47" t="str">
            <v>Aimee</v>
          </cell>
          <cell r="I47" t="str">
            <v>LACEY</v>
          </cell>
          <cell r="J47" t="str">
            <v>SA</v>
          </cell>
          <cell r="K47" t="str">
            <v>Ford</v>
          </cell>
          <cell r="L47" t="str">
            <v>Fiesta</v>
          </cell>
          <cell r="BS47">
            <v>1</v>
          </cell>
          <cell r="BV47">
            <v>2</v>
          </cell>
        </row>
        <row r="48">
          <cell r="B48">
            <v>44</v>
          </cell>
          <cell r="E48" t="str">
            <v>Nick</v>
          </cell>
          <cell r="F48" t="str">
            <v>WHITE</v>
          </cell>
          <cell r="G48" t="str">
            <v>SA</v>
          </cell>
          <cell r="H48" t="str">
            <v>Anthony</v>
          </cell>
          <cell r="I48" t="str">
            <v>WHITE</v>
          </cell>
          <cell r="J48" t="str">
            <v>SA</v>
          </cell>
          <cell r="K48" t="str">
            <v>Datsun</v>
          </cell>
          <cell r="L48" t="str">
            <v>180B SSS</v>
          </cell>
          <cell r="BS48">
            <v>1</v>
          </cell>
          <cell r="BV48">
            <v>2</v>
          </cell>
        </row>
        <row r="49">
          <cell r="B49">
            <v>48</v>
          </cell>
          <cell r="E49" t="str">
            <v>Matt</v>
          </cell>
          <cell r="F49" t="str">
            <v>BISSELL</v>
          </cell>
          <cell r="G49" t="str">
            <v>SA</v>
          </cell>
          <cell r="H49" t="str">
            <v>Lachlan</v>
          </cell>
          <cell r="I49" t="str">
            <v>BISSELL</v>
          </cell>
          <cell r="J49" t="str">
            <v>SA</v>
          </cell>
          <cell r="K49" t="str">
            <v>Subaru</v>
          </cell>
          <cell r="L49" t="str">
            <v>WRX</v>
          </cell>
          <cell r="BT49">
            <v>1</v>
          </cell>
          <cell r="BV49">
            <v>4</v>
          </cell>
        </row>
        <row r="50">
          <cell r="B50">
            <v>49</v>
          </cell>
          <cell r="E50" t="str">
            <v>Graham</v>
          </cell>
          <cell r="F50" t="str">
            <v>WALLIS</v>
          </cell>
          <cell r="G50" t="str">
            <v>VIC</v>
          </cell>
          <cell r="J50">
            <v>0</v>
          </cell>
          <cell r="K50" t="str">
            <v>Citroen</v>
          </cell>
          <cell r="L50" t="str">
            <v>Xsara VTS</v>
          </cell>
          <cell r="BS50">
            <v>1</v>
          </cell>
          <cell r="BV50">
            <v>2</v>
          </cell>
        </row>
        <row r="51">
          <cell r="B51">
            <v>50</v>
          </cell>
          <cell r="E51" t="str">
            <v>Jaxon</v>
          </cell>
          <cell r="F51" t="str">
            <v>RIPPON</v>
          </cell>
          <cell r="G51" t="str">
            <v>SA</v>
          </cell>
          <cell r="H51" t="str">
            <v>Chris</v>
          </cell>
          <cell r="I51" t="str">
            <v>SKINNER</v>
          </cell>
          <cell r="J51" t="str">
            <v>SA</v>
          </cell>
          <cell r="K51" t="str">
            <v>Toyota</v>
          </cell>
          <cell r="L51" t="str">
            <v>Corolla</v>
          </cell>
          <cell r="BS51">
            <v>1</v>
          </cell>
          <cell r="BV51">
            <v>2</v>
          </cell>
        </row>
        <row r="52">
          <cell r="B52">
            <v>51</v>
          </cell>
          <cell r="E52" t="str">
            <v>Lachlan</v>
          </cell>
          <cell r="F52" t="str">
            <v>TILLETT</v>
          </cell>
          <cell r="G52" t="str">
            <v>SA</v>
          </cell>
          <cell r="H52" t="str">
            <v>TBA</v>
          </cell>
          <cell r="I52" t="str">
            <v>TBA</v>
          </cell>
          <cell r="J52" t="str">
            <v>SA</v>
          </cell>
          <cell r="K52" t="str">
            <v>Volkswagen</v>
          </cell>
          <cell r="L52" t="str">
            <v>Golf Gti</v>
          </cell>
          <cell r="BS52">
            <v>1</v>
          </cell>
          <cell r="BV52">
            <v>2</v>
          </cell>
        </row>
        <row r="53">
          <cell r="B53">
            <v>52</v>
          </cell>
          <cell r="E53" t="str">
            <v>Lachlan</v>
          </cell>
          <cell r="F53" t="str">
            <v>BISSELL</v>
          </cell>
          <cell r="G53" t="str">
            <v>SA</v>
          </cell>
          <cell r="H53" t="str">
            <v>Matt</v>
          </cell>
          <cell r="I53" t="str">
            <v>BISSELL</v>
          </cell>
          <cell r="J53" t="str">
            <v>SA</v>
          </cell>
          <cell r="K53" t="str">
            <v>Subaru</v>
          </cell>
          <cell r="L53" t="str">
            <v>WRX</v>
          </cell>
          <cell r="BT53">
            <v>1</v>
          </cell>
          <cell r="BV53">
            <v>4</v>
          </cell>
        </row>
        <row r="54">
          <cell r="B54">
            <v>53</v>
          </cell>
          <cell r="E54" t="str">
            <v>Daniel</v>
          </cell>
          <cell r="F54" t="str">
            <v>BLAKEMORE</v>
          </cell>
          <cell r="G54" t="str">
            <v>SA</v>
          </cell>
          <cell r="H54" t="str">
            <v>Chris</v>
          </cell>
          <cell r="I54" t="str">
            <v>SKINNER</v>
          </cell>
          <cell r="J54" t="str">
            <v>SA</v>
          </cell>
          <cell r="K54" t="str">
            <v>Toyota</v>
          </cell>
          <cell r="L54" t="str">
            <v>Corolla</v>
          </cell>
          <cell r="BS54">
            <v>1</v>
          </cell>
          <cell r="BV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5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8.7109375" style="5" customWidth="1"/>
    <col min="2" max="6" width="8.7109375" style="6" customWidth="1"/>
    <col min="7" max="7" width="9.57421875" style="6" customWidth="1"/>
    <col min="8" max="9" width="8.7109375" style="6" customWidth="1"/>
    <col min="10" max="10" width="14.140625" style="0" bestFit="1" customWidth="1"/>
    <col min="11" max="11" width="15.57421875" style="0" bestFit="1" customWidth="1"/>
    <col min="12" max="12" width="16.8515625" style="0" bestFit="1" customWidth="1"/>
    <col min="13" max="13" width="17.421875" style="0" bestFit="1" customWidth="1"/>
    <col min="14" max="14" width="11.140625" style="0" bestFit="1" customWidth="1"/>
    <col min="15" max="15" width="15.140625" style="0" bestFit="1" customWidth="1"/>
    <col min="16" max="35" width="8.57421875" style="1" customWidth="1"/>
  </cols>
  <sheetData>
    <row r="1" ht="15"/>
    <row r="2" spans="6:9" ht="26.25">
      <c r="F2" s="2" t="s">
        <v>209</v>
      </c>
      <c r="I2" s="7" t="s">
        <v>220</v>
      </c>
    </row>
    <row r="3" ht="15">
      <c r="F3" s="3" t="s">
        <v>210</v>
      </c>
    </row>
    <row r="4" ht="15">
      <c r="F4" s="4" t="s">
        <v>211</v>
      </c>
    </row>
    <row r="5" ht="15"/>
    <row r="6" spans="1:35" ht="28.5">
      <c r="A6" s="8" t="s">
        <v>0</v>
      </c>
      <c r="B6" s="9" t="s">
        <v>212</v>
      </c>
      <c r="C6" s="9" t="s">
        <v>213</v>
      </c>
      <c r="D6" s="9" t="s">
        <v>214</v>
      </c>
      <c r="E6" s="9" t="s">
        <v>218</v>
      </c>
      <c r="F6" s="9" t="s">
        <v>215</v>
      </c>
      <c r="G6" s="9" t="s">
        <v>216</v>
      </c>
      <c r="H6" s="9" t="s">
        <v>217</v>
      </c>
      <c r="I6" s="9" t="s">
        <v>219</v>
      </c>
      <c r="J6" s="10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1" t="s">
        <v>222</v>
      </c>
      <c r="Q6" s="11" t="s">
        <v>223</v>
      </c>
      <c r="R6" s="11" t="s">
        <v>224</v>
      </c>
      <c r="S6" s="11" t="s">
        <v>225</v>
      </c>
      <c r="T6" s="11" t="s">
        <v>226</v>
      </c>
      <c r="U6" s="11" t="s">
        <v>227</v>
      </c>
      <c r="V6" s="11" t="s">
        <v>228</v>
      </c>
      <c r="W6" s="11" t="s">
        <v>229</v>
      </c>
      <c r="X6" s="11" t="s">
        <v>230</v>
      </c>
      <c r="Y6" s="11" t="s">
        <v>231</v>
      </c>
      <c r="Z6" s="11" t="s">
        <v>232</v>
      </c>
      <c r="AA6" s="11" t="s">
        <v>233</v>
      </c>
      <c r="AB6" s="11" t="s">
        <v>234</v>
      </c>
      <c r="AC6" s="11" t="s">
        <v>235</v>
      </c>
      <c r="AD6" s="11" t="s">
        <v>236</v>
      </c>
      <c r="AE6" s="11" t="s">
        <v>237</v>
      </c>
      <c r="AF6" s="11" t="s">
        <v>238</v>
      </c>
      <c r="AG6" s="11" t="s">
        <v>239</v>
      </c>
      <c r="AH6" s="11" t="s">
        <v>240</v>
      </c>
      <c r="AI6" s="11" t="s">
        <v>221</v>
      </c>
    </row>
    <row r="7" spans="1:35" ht="14.25">
      <c r="A7" s="5">
        <v>1</v>
      </c>
      <c r="B7" s="6" t="s">
        <v>7</v>
      </c>
      <c r="I7" s="6">
        <f>VLOOKUP(A7,'[1]Entry'!$B$2:$BV$54,73,FALSE)</f>
        <v>4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s="1">
        <f>2351/864000</f>
        <v>0.0027210648148148146</v>
      </c>
      <c r="Q7" s="1">
        <f>3088/864000</f>
        <v>0.003574074074074074</v>
      </c>
      <c r="R7" s="1">
        <f>2321/864000</f>
        <v>0.0026863425925925926</v>
      </c>
      <c r="S7" s="1">
        <f>3111/864000</f>
        <v>0.0036006944444444446</v>
      </c>
      <c r="T7" s="1">
        <f>1841/864000</f>
        <v>0.002130787037037037</v>
      </c>
      <c r="U7" s="1">
        <f>9239/864000</f>
        <v>0.010693287037037038</v>
      </c>
      <c r="V7" s="1">
        <f>1834/864000</f>
        <v>0.0021226851851851854</v>
      </c>
      <c r="W7" s="1">
        <f>9453/864000</f>
        <v>0.010940972222222222</v>
      </c>
      <c r="X7" s="1">
        <f>861/864000</f>
        <v>0.0009965277777777778</v>
      </c>
      <c r="Y7" s="1">
        <f>868/864000</f>
        <v>0.0010046296296296296</v>
      </c>
      <c r="Z7" s="1">
        <f>5937/864000</f>
        <v>0.006871527777777778</v>
      </c>
      <c r="AA7" s="1">
        <f>5075/864000</f>
        <v>0.005873842592592593</v>
      </c>
      <c r="AB7" s="1">
        <f>966/864000</f>
        <v>0.0011180555555555555</v>
      </c>
      <c r="AC7" s="1">
        <f>2388/864000</f>
        <v>0.002763888888888889</v>
      </c>
      <c r="AD7" s="1">
        <f>2059/864000</f>
        <v>0.002383101851851852</v>
      </c>
      <c r="AF7" s="1">
        <f>959/864000</f>
        <v>0.0011099537037037037</v>
      </c>
      <c r="AG7" s="1">
        <f>2385/864000</f>
        <v>0.0027604166666666667</v>
      </c>
      <c r="AH7" s="1">
        <f>2044/864000</f>
        <v>0.0023657407407407407</v>
      </c>
      <c r="AI7" s="1">
        <f>5935/864000</f>
        <v>0.006869212962962963</v>
      </c>
    </row>
    <row r="8" spans="1:35" ht="14.25">
      <c r="A8" s="5">
        <v>2</v>
      </c>
      <c r="B8" s="6" t="s">
        <v>7</v>
      </c>
      <c r="I8" s="6">
        <f>VLOOKUP(A8,'[1]Entry'!$B$2:$BV$54,73,FALSE)</f>
        <v>4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s="1">
        <f>2383/864000</f>
        <v>0.002758101851851852</v>
      </c>
      <c r="Q8" s="1">
        <f>3151/864000</f>
        <v>0.0036469907407407406</v>
      </c>
      <c r="R8" s="1">
        <f>2369/864000</f>
        <v>0.0027418981481481483</v>
      </c>
      <c r="S8" s="1">
        <f>3163/864000</f>
        <v>0.00366087962962963</v>
      </c>
      <c r="T8" s="1">
        <f>1947/864000</f>
        <v>0.0022534722222222222</v>
      </c>
      <c r="U8" s="1">
        <f>9435/864000</f>
        <v>0.010920138888888889</v>
      </c>
      <c r="V8" s="1">
        <f>1921/864000</f>
        <v>0.00222337962962963</v>
      </c>
      <c r="W8" s="1">
        <f>9357/864000</f>
        <v>0.010829861111111111</v>
      </c>
      <c r="X8" s="1">
        <f>915/864000</f>
        <v>0.0010590277777777779</v>
      </c>
      <c r="Y8" s="1">
        <f>909/864000</f>
        <v>0.0010520833333333333</v>
      </c>
      <c r="Z8" s="1">
        <f>5926/864000</f>
        <v>0.006858796296296296</v>
      </c>
      <c r="AA8" s="1">
        <f>4980/864000</f>
        <v>0.005763888888888889</v>
      </c>
      <c r="AB8" s="1">
        <f>972/864000</f>
        <v>0.001125</v>
      </c>
      <c r="AC8" s="1">
        <f>2404/864000</f>
        <v>0.0027824074074074075</v>
      </c>
      <c r="AD8" s="1">
        <f>2112/864000</f>
        <v>0.0024444444444444444</v>
      </c>
      <c r="AF8" s="1">
        <f>971/864000</f>
        <v>0.0011238425925925925</v>
      </c>
      <c r="AG8" s="1">
        <f>2412/864000</f>
        <v>0.0027916666666666667</v>
      </c>
      <c r="AH8" s="1">
        <f>2064/864000</f>
        <v>0.0023888888888888887</v>
      </c>
      <c r="AI8" s="1">
        <f>5909/864000</f>
        <v>0.00683912037037037</v>
      </c>
    </row>
    <row r="9" spans="1:35" ht="14.25">
      <c r="A9" s="5">
        <v>3</v>
      </c>
      <c r="B9" s="6" t="s">
        <v>7</v>
      </c>
      <c r="I9" s="6">
        <f>VLOOKUP(A9,'[1]Entry'!$B$2:$BV$54,73,FALSE)</f>
        <v>4</v>
      </c>
      <c r="J9" t="s">
        <v>8</v>
      </c>
      <c r="K9" t="s">
        <v>20</v>
      </c>
      <c r="L9" t="s">
        <v>21</v>
      </c>
      <c r="M9" t="s">
        <v>22</v>
      </c>
      <c r="N9" t="s">
        <v>12</v>
      </c>
      <c r="O9" t="s">
        <v>13</v>
      </c>
      <c r="P9" s="1">
        <f>2403/864000</f>
        <v>0.00278125</v>
      </c>
      <c r="Q9" s="1">
        <f>3154/864000</f>
        <v>0.003650462962962963</v>
      </c>
      <c r="R9" s="1">
        <f>2385/864000</f>
        <v>0.0027604166666666667</v>
      </c>
      <c r="S9" s="1">
        <f>3308/864000</f>
        <v>0.0038287037037037035</v>
      </c>
      <c r="T9" s="1">
        <f>1909/864000</f>
        <v>0.0022094907407407406</v>
      </c>
      <c r="U9" s="1">
        <f>9324/864000</f>
        <v>0.010791666666666666</v>
      </c>
      <c r="V9" s="1">
        <f>1862/864000</f>
        <v>0.0021550925925925926</v>
      </c>
      <c r="W9" s="1">
        <f>9161/864000</f>
        <v>0.01060300925925926</v>
      </c>
      <c r="X9" s="1">
        <f>867/864000</f>
        <v>0.0010034722222222222</v>
      </c>
      <c r="Y9" s="1">
        <f>878/864000</f>
        <v>0.0010162037037037036</v>
      </c>
      <c r="Z9" s="1">
        <f>6042/864000</f>
        <v>0.006993055555555555</v>
      </c>
      <c r="AA9" s="1">
        <f>5218/864000</f>
        <v>0.006039351851851852</v>
      </c>
      <c r="AB9" s="1">
        <f>998/864000</f>
        <v>0.0011550925925925925</v>
      </c>
      <c r="AC9" s="1">
        <f>2437/864000</f>
        <v>0.002820601851851852</v>
      </c>
      <c r="AD9" s="1">
        <f>2125/864000</f>
        <v>0.002459490740740741</v>
      </c>
      <c r="AF9" s="1">
        <f>981/864000</f>
        <v>0.0011354166666666667</v>
      </c>
      <c r="AG9" s="1">
        <f>2394/864000</f>
        <v>0.0027708333333333335</v>
      </c>
      <c r="AH9" s="1">
        <f>2093/864000</f>
        <v>0.0024224537037037036</v>
      </c>
      <c r="AI9" s="1">
        <f>6110/864000</f>
        <v>0.007071759259259259</v>
      </c>
    </row>
    <row r="10" spans="1:19" ht="14.25">
      <c r="A10" s="5">
        <v>4</v>
      </c>
      <c r="B10" s="6" t="s">
        <v>7</v>
      </c>
      <c r="C10" s="6" t="s">
        <v>7</v>
      </c>
      <c r="D10" s="6" t="s">
        <v>7</v>
      </c>
      <c r="F10" s="6" t="s">
        <v>7</v>
      </c>
      <c r="I10" s="6">
        <f>VLOOKUP(A10,'[1]Entry'!$B$2:$BV$54,73,FALSE)</f>
        <v>4</v>
      </c>
      <c r="J10" t="s">
        <v>23</v>
      </c>
      <c r="K10" t="s">
        <v>24</v>
      </c>
      <c r="L10" t="s">
        <v>25</v>
      </c>
      <c r="M10" t="s">
        <v>26</v>
      </c>
      <c r="N10" t="s">
        <v>27</v>
      </c>
      <c r="O10" t="s">
        <v>28</v>
      </c>
      <c r="P10" s="1">
        <f>2594/864000</f>
        <v>0.003002314814814815</v>
      </c>
      <c r="Q10" s="1">
        <f>3303/864000</f>
        <v>0.0038229166666666667</v>
      </c>
      <c r="R10" s="1">
        <f>2489/864000</f>
        <v>0.002880787037037037</v>
      </c>
      <c r="S10" s="1">
        <f>3573/864000</f>
        <v>0.004135416666666667</v>
      </c>
    </row>
    <row r="11" spans="1:35" ht="14.25">
      <c r="A11" s="5">
        <v>5</v>
      </c>
      <c r="B11" s="6" t="s">
        <v>7</v>
      </c>
      <c r="C11" s="6" t="s">
        <v>7</v>
      </c>
      <c r="I11" s="6">
        <f>VLOOKUP(A11,'[1]Entry'!$B$2:$BV$54,73,FALSE)</f>
        <v>4</v>
      </c>
      <c r="J11" t="s">
        <v>29</v>
      </c>
      <c r="K11" t="s">
        <v>11</v>
      </c>
      <c r="L11" t="s">
        <v>30</v>
      </c>
      <c r="M11" t="s">
        <v>31</v>
      </c>
      <c r="N11" t="s">
        <v>32</v>
      </c>
      <c r="O11" t="s">
        <v>33</v>
      </c>
      <c r="P11" s="1">
        <f>2556/864000</f>
        <v>0.002958333333333333</v>
      </c>
      <c r="Q11" s="1">
        <f>3309/864000</f>
        <v>0.003829861111111111</v>
      </c>
      <c r="R11" s="1">
        <f>2603/864000</f>
        <v>0.0030127314814814817</v>
      </c>
      <c r="S11" s="1">
        <f>3540/864000</f>
        <v>0.004097222222222223</v>
      </c>
      <c r="T11" s="1">
        <f>2111/864000</f>
        <v>0.002443287037037037</v>
      </c>
      <c r="U11" s="1">
        <f>10052/864000</f>
        <v>0.011634259259259259</v>
      </c>
      <c r="V11" s="1">
        <f>2070/864000</f>
        <v>0.002395833333333333</v>
      </c>
      <c r="W11" s="1">
        <f>9720/864000</f>
        <v>0.01125</v>
      </c>
      <c r="X11" s="1">
        <f>883/864000</f>
        <v>0.0010219907407407408</v>
      </c>
      <c r="Y11" s="1">
        <f>884/864000</f>
        <v>0.0010231481481481482</v>
      </c>
      <c r="Z11" s="1">
        <f>6393/864000</f>
        <v>0.007399305555555556</v>
      </c>
      <c r="AA11" s="1">
        <f>5212/864000</f>
        <v>0.006032407407407407</v>
      </c>
      <c r="AB11" s="1">
        <f>1072/864000</f>
        <v>0.0012407407407407408</v>
      </c>
      <c r="AC11" s="1">
        <f>2578/864000</f>
        <v>0.0029837962962962965</v>
      </c>
      <c r="AD11" s="1">
        <f>2241/864000</f>
        <v>0.00259375</v>
      </c>
      <c r="AF11" s="1">
        <f>1055/864000</f>
        <v>0.0012210648148148148</v>
      </c>
      <c r="AG11" s="1">
        <f>2543/864000</f>
        <v>0.0029432870370370372</v>
      </c>
      <c r="AH11" s="1">
        <f>2195/864000</f>
        <v>0.0025405092592592593</v>
      </c>
      <c r="AI11" s="1">
        <f>6271/864000</f>
        <v>0.0072581018518518515</v>
      </c>
    </row>
    <row r="12" spans="1:35" ht="14.25">
      <c r="A12" s="5">
        <v>6</v>
      </c>
      <c r="B12" s="6" t="s">
        <v>7</v>
      </c>
      <c r="C12" s="6" t="s">
        <v>7</v>
      </c>
      <c r="I12" s="6">
        <f>VLOOKUP(A12,'[1]Entry'!$B$2:$BV$54,73,FALSE)</f>
        <v>4</v>
      </c>
      <c r="J12" t="s">
        <v>34</v>
      </c>
      <c r="K12" t="s">
        <v>35</v>
      </c>
      <c r="L12" t="s">
        <v>36</v>
      </c>
      <c r="M12" t="s">
        <v>37</v>
      </c>
      <c r="N12" t="s">
        <v>38</v>
      </c>
      <c r="O12" t="s">
        <v>39</v>
      </c>
      <c r="P12" s="1">
        <f>2467/864000</f>
        <v>0.002855324074074074</v>
      </c>
      <c r="Q12" s="1">
        <f>3243/864000</f>
        <v>0.0037534722222222223</v>
      </c>
      <c r="R12" s="1">
        <f>2394/864000</f>
        <v>0.0027708333333333335</v>
      </c>
      <c r="S12" s="1">
        <f>3174/864000</f>
        <v>0.003673611111111111</v>
      </c>
      <c r="T12" s="1">
        <f>1944/864000</f>
        <v>0.00225</v>
      </c>
      <c r="U12" s="1">
        <f>9677/864000</f>
        <v>0.011200231481481481</v>
      </c>
      <c r="V12" s="1">
        <f>2098/864000</f>
        <v>0.002428240740740741</v>
      </c>
      <c r="W12" s="1">
        <f>9666/864000</f>
        <v>0.0111875</v>
      </c>
      <c r="X12" s="1">
        <f>982/864000</f>
        <v>0.0011365740740740741</v>
      </c>
      <c r="Y12" s="1">
        <f>859/864000</f>
        <v>0.000994212962962963</v>
      </c>
      <c r="Z12" s="1">
        <f>6236/864000</f>
        <v>0.007217592592592592</v>
      </c>
      <c r="AA12" s="1">
        <f>5109/864000</f>
        <v>0.005913194444444445</v>
      </c>
      <c r="AB12" s="1">
        <f>1014/864000</f>
        <v>0.0011736111111111112</v>
      </c>
      <c r="AC12" s="1">
        <f>2536/864000</f>
        <v>0.002935185185185185</v>
      </c>
      <c r="AD12" s="1">
        <f>2209/864000</f>
        <v>0.002556712962962963</v>
      </c>
      <c r="AF12" s="1">
        <f>1016/864000</f>
        <v>0.001175925925925926</v>
      </c>
      <c r="AG12" s="1">
        <f>2485/864000</f>
        <v>0.0028761574074074076</v>
      </c>
      <c r="AH12" s="1">
        <f>2166/864000</f>
        <v>0.0025069444444444445</v>
      </c>
      <c r="AI12" s="1">
        <f>6261/864000</f>
        <v>0.007246527777777778</v>
      </c>
    </row>
    <row r="13" spans="1:35" ht="14.25">
      <c r="A13" s="5">
        <v>7</v>
      </c>
      <c r="B13" s="6" t="s">
        <v>7</v>
      </c>
      <c r="C13" s="6" t="s">
        <v>7</v>
      </c>
      <c r="D13" s="6" t="s">
        <v>7</v>
      </c>
      <c r="I13" s="6">
        <f>VLOOKUP(A13,'[1]Entry'!$B$2:$BV$54,73,FALSE)</f>
        <v>4</v>
      </c>
      <c r="J13" t="s">
        <v>40</v>
      </c>
      <c r="K13" t="s">
        <v>41</v>
      </c>
      <c r="L13" t="s">
        <v>42</v>
      </c>
      <c r="M13" t="s">
        <v>43</v>
      </c>
      <c r="N13" t="s">
        <v>18</v>
      </c>
      <c r="O13" t="s">
        <v>44</v>
      </c>
      <c r="P13" s="1">
        <f>2537/864000</f>
        <v>0.0029363425925925924</v>
      </c>
      <c r="Q13" s="1">
        <f>3316/864000</f>
        <v>0.003837962962962963</v>
      </c>
      <c r="R13" s="1">
        <f>2479/864000</f>
        <v>0.002869212962962963</v>
      </c>
      <c r="S13" s="1">
        <f>3347/864000</f>
        <v>0.003873842592592593</v>
      </c>
      <c r="T13" s="1">
        <f>1985/864000</f>
        <v>0.002297453703703704</v>
      </c>
      <c r="U13" s="1">
        <f>9853/864000</f>
        <v>0.011403935185185185</v>
      </c>
      <c r="V13" s="1">
        <f>1958/864000</f>
        <v>0.002266203703703704</v>
      </c>
      <c r="W13" s="1">
        <f>9749/864000</f>
        <v>0.011283564814814814</v>
      </c>
      <c r="X13" s="1">
        <f>880/864000</f>
        <v>0.0010185185185185184</v>
      </c>
      <c r="Y13" s="1">
        <f>885/864000</f>
        <v>0.0010243055555555556</v>
      </c>
      <c r="Z13" s="1">
        <f>6323/864000</f>
        <v>0.007318287037037037</v>
      </c>
      <c r="AA13" s="1">
        <f>5749/864000</f>
        <v>0.0066539351851851855</v>
      </c>
      <c r="AB13" s="1">
        <f>1353/864000</f>
        <v>0.0015659722222222223</v>
      </c>
      <c r="AC13" s="1">
        <f>2553/864000</f>
        <v>0.0029548611111111112</v>
      </c>
      <c r="AD13" s="1">
        <f>2234/864000</f>
        <v>0.002585648148148148</v>
      </c>
      <c r="AF13" s="1">
        <f>1029/864000</f>
        <v>0.0011909722222222222</v>
      </c>
      <c r="AG13" s="1">
        <f>2578/864000</f>
        <v>0.0029837962962962965</v>
      </c>
      <c r="AH13" s="1">
        <f>2198/864000</f>
        <v>0.0025439814814814813</v>
      </c>
      <c r="AI13" s="1">
        <f>6347/864000</f>
        <v>0.007346064814814815</v>
      </c>
    </row>
    <row r="14" spans="1:35" ht="14.25">
      <c r="A14" s="5">
        <v>9</v>
      </c>
      <c r="B14" s="6" t="s">
        <v>7</v>
      </c>
      <c r="C14" s="6" t="s">
        <v>7</v>
      </c>
      <c r="F14" s="6" t="s">
        <v>7</v>
      </c>
      <c r="I14" s="6">
        <f>VLOOKUP(A14,'[1]Entry'!$B$2:$BV$54,73,FALSE)</f>
        <v>4</v>
      </c>
      <c r="J14" t="s">
        <v>45</v>
      </c>
      <c r="K14" t="s">
        <v>46</v>
      </c>
      <c r="L14" t="s">
        <v>47</v>
      </c>
      <c r="M14" t="s">
        <v>48</v>
      </c>
      <c r="N14" t="s">
        <v>18</v>
      </c>
      <c r="O14" t="s">
        <v>49</v>
      </c>
      <c r="P14" s="1">
        <f>2658/864000</f>
        <v>0.003076388888888889</v>
      </c>
      <c r="Q14" s="1">
        <f>3381/864000</f>
        <v>0.003913194444444445</v>
      </c>
      <c r="R14" s="1">
        <f>2560/864000</f>
        <v>0.002962962962962963</v>
      </c>
      <c r="S14" s="1">
        <f>3717/864000</f>
        <v>0.004302083333333333</v>
      </c>
      <c r="T14" s="1">
        <f>2065/864000</f>
        <v>0.0023900462962962964</v>
      </c>
      <c r="U14" s="1">
        <f>10238/864000</f>
        <v>0.011849537037037037</v>
      </c>
      <c r="V14" s="1">
        <f>2035/864000</f>
        <v>0.002355324074074074</v>
      </c>
      <c r="W14" s="1">
        <f>9959/864000</f>
        <v>0.011526620370370371</v>
      </c>
      <c r="X14" s="1">
        <f>908/864000</f>
        <v>0.0010509259259259259</v>
      </c>
      <c r="Y14" s="1">
        <f>908/864000</f>
        <v>0.0010509259259259259</v>
      </c>
      <c r="Z14" s="1">
        <f>6558/864000</f>
        <v>0.007590277777777777</v>
      </c>
      <c r="AA14" s="1">
        <f>5505/864000</f>
        <v>0.006371527777777778</v>
      </c>
      <c r="AB14" s="1">
        <f>1059/864000</f>
        <v>0.0012256944444444444</v>
      </c>
      <c r="AC14" s="1">
        <f>2608/864000</f>
        <v>0.0030185185185185185</v>
      </c>
      <c r="AD14" s="1">
        <f>2265/864000</f>
        <v>0.0026215277777777777</v>
      </c>
      <c r="AF14" s="1">
        <f>1038/864000</f>
        <v>0.001201388888888889</v>
      </c>
      <c r="AG14" s="1">
        <f>2605/864000</f>
        <v>0.0030150462962962965</v>
      </c>
      <c r="AH14" s="1">
        <f>2215/864000</f>
        <v>0.0025636574074074073</v>
      </c>
      <c r="AI14" s="1">
        <f>6547/864000</f>
        <v>0.007577546296296297</v>
      </c>
    </row>
    <row r="15" spans="1:35" ht="14.25">
      <c r="A15" s="5">
        <v>10</v>
      </c>
      <c r="B15" s="6" t="s">
        <v>7</v>
      </c>
      <c r="C15" s="6" t="s">
        <v>7</v>
      </c>
      <c r="D15" s="6" t="s">
        <v>7</v>
      </c>
      <c r="F15" s="6" t="s">
        <v>7</v>
      </c>
      <c r="I15" s="6">
        <f>VLOOKUP(A15,'[1]Entry'!$B$2:$BV$54,73,FALSE)</f>
        <v>4</v>
      </c>
      <c r="J15" t="s">
        <v>50</v>
      </c>
      <c r="K15" t="s">
        <v>51</v>
      </c>
      <c r="L15" t="s">
        <v>52</v>
      </c>
      <c r="M15" t="s">
        <v>53</v>
      </c>
      <c r="N15" t="s">
        <v>27</v>
      </c>
      <c r="O15" t="s">
        <v>54</v>
      </c>
      <c r="P15" s="1">
        <f>2557/864000</f>
        <v>0.002959490740740741</v>
      </c>
      <c r="Q15" s="1">
        <f>3303/864000</f>
        <v>0.0038229166666666667</v>
      </c>
      <c r="R15" s="1">
        <f>2453/864000</f>
        <v>0.0028391203703703703</v>
      </c>
      <c r="S15" s="1">
        <f>3258/864000</f>
        <v>0.0037708333333333335</v>
      </c>
      <c r="T15" s="1">
        <f>2002/864000</f>
        <v>0.0023171296296296295</v>
      </c>
      <c r="U15" s="1">
        <f>9565/864000</f>
        <v>0.011070601851851852</v>
      </c>
      <c r="V15" s="1">
        <f>1960/864000</f>
        <v>0.0022685185185185187</v>
      </c>
      <c r="W15" s="1">
        <f>9463/864000</f>
        <v>0.010952546296296297</v>
      </c>
      <c r="X15" s="1">
        <f>963/864000</f>
        <v>0.0011145833333333333</v>
      </c>
      <c r="Y15" s="1">
        <f>901/864000</f>
        <v>0.001042824074074074</v>
      </c>
      <c r="Z15" s="1">
        <f>6283/864000</f>
        <v>0.00727199074074074</v>
      </c>
      <c r="AA15" s="1">
        <f>5324/864000</f>
        <v>0.006162037037037037</v>
      </c>
      <c r="AB15" s="1">
        <f>1078/864000</f>
        <v>0.0012476851851851852</v>
      </c>
      <c r="AC15" s="1">
        <f>2544/864000</f>
        <v>0.0029444444444444444</v>
      </c>
      <c r="AD15" s="1">
        <f>2167/864000</f>
        <v>0.0025081018518518516</v>
      </c>
      <c r="AF15" s="1">
        <f>1061/864000</f>
        <v>0.0012280092592592592</v>
      </c>
      <c r="AG15" s="1">
        <f>2489/864000</f>
        <v>0.002880787037037037</v>
      </c>
      <c r="AH15" s="1">
        <f>2120/864000</f>
        <v>0.0024537037037037036</v>
      </c>
      <c r="AI15" s="1">
        <f>6261/864000</f>
        <v>0.007246527777777778</v>
      </c>
    </row>
    <row r="16" spans="1:35" ht="14.25">
      <c r="A16" s="5">
        <v>11</v>
      </c>
      <c r="B16" s="6" t="s">
        <v>7</v>
      </c>
      <c r="D16" s="6" t="s">
        <v>7</v>
      </c>
      <c r="I16" s="6">
        <f>VLOOKUP(A16,'[1]Entry'!$B$2:$BV$54,73,FALSE)</f>
        <v>2</v>
      </c>
      <c r="J16" t="s">
        <v>55</v>
      </c>
      <c r="K16" t="s">
        <v>43</v>
      </c>
      <c r="L16" t="s">
        <v>56</v>
      </c>
      <c r="M16" t="s">
        <v>57</v>
      </c>
      <c r="N16" t="s">
        <v>38</v>
      </c>
      <c r="O16" t="s">
        <v>58</v>
      </c>
      <c r="P16" s="1">
        <f>2634/864000</f>
        <v>0.0030486111111111113</v>
      </c>
      <c r="Q16" s="1">
        <f>3383/864000</f>
        <v>0.003915509259259259</v>
      </c>
      <c r="R16" s="1">
        <f>2600/864000</f>
        <v>0.0030092592592592593</v>
      </c>
      <c r="S16" s="1">
        <f>3421/864000</f>
        <v>0.003959490740740741</v>
      </c>
      <c r="T16" s="1">
        <f>2066/864000</f>
        <v>0.0023912037037037035</v>
      </c>
      <c r="U16" s="1">
        <f>10297/864000</f>
        <v>0.011917824074074074</v>
      </c>
      <c r="V16" s="1">
        <f>2032/864000</f>
        <v>0.002351851851851852</v>
      </c>
      <c r="W16" s="1">
        <f>10083/864000</f>
        <v>0.01167013888888889</v>
      </c>
      <c r="X16" s="1">
        <f>934/864000</f>
        <v>0.0010810185185185185</v>
      </c>
      <c r="Y16" s="1">
        <f>951/864000</f>
        <v>0.0011006944444444445</v>
      </c>
      <c r="Z16" s="1">
        <f>6690/864000</f>
        <v>0.007743055555555556</v>
      </c>
      <c r="AA16" s="1">
        <f>6503/864000</f>
        <v>0.00752662037037037</v>
      </c>
      <c r="AB16" s="1">
        <f>1094/864000</f>
        <v>0.0012662037037037036</v>
      </c>
      <c r="AC16" s="1">
        <f>2674/864000</f>
        <v>0.0030949074074074073</v>
      </c>
      <c r="AD16" s="1">
        <f>2317/864000</f>
        <v>0.002681712962962963</v>
      </c>
      <c r="AF16" s="1">
        <f>1067/864000</f>
        <v>0.0012349537037037036</v>
      </c>
      <c r="AG16" s="1">
        <f>2681/864000</f>
        <v>0.0031030092592592593</v>
      </c>
      <c r="AH16" s="1">
        <f>2234/864000</f>
        <v>0.002585648148148148</v>
      </c>
      <c r="AI16" s="1">
        <f>6414/864000</f>
        <v>0.007423611111111111</v>
      </c>
    </row>
    <row r="17" spans="1:27" ht="14.25">
      <c r="A17" s="5">
        <v>12</v>
      </c>
      <c r="B17" s="6" t="s">
        <v>7</v>
      </c>
      <c r="C17" s="6" t="s">
        <v>7</v>
      </c>
      <c r="D17" s="6" t="s">
        <v>7</v>
      </c>
      <c r="F17" s="6" t="s">
        <v>7</v>
      </c>
      <c r="I17" s="6">
        <f>VLOOKUP(A17,'[1]Entry'!$B$2:$BV$54,73,FALSE)</f>
        <v>4</v>
      </c>
      <c r="J17" t="s">
        <v>59</v>
      </c>
      <c r="K17" t="s">
        <v>60</v>
      </c>
      <c r="L17" t="s">
        <v>61</v>
      </c>
      <c r="M17" t="s">
        <v>62</v>
      </c>
      <c r="N17" t="s">
        <v>18</v>
      </c>
      <c r="O17" t="s">
        <v>44</v>
      </c>
      <c r="P17" s="1">
        <f>2781/864000</f>
        <v>0.00321875</v>
      </c>
      <c r="Q17" s="1">
        <f>3463/864000</f>
        <v>0.004008101851851852</v>
      </c>
      <c r="R17" s="1">
        <f>2571/864000</f>
        <v>0.0029756944444444444</v>
      </c>
      <c r="S17" s="1">
        <f>4763/864000</f>
        <v>0.005512731481481481</v>
      </c>
      <c r="T17" s="1">
        <f>2105/864000</f>
        <v>0.0024363425925925924</v>
      </c>
      <c r="U17" s="1">
        <f>10235/864000</f>
        <v>0.011846064814814814</v>
      </c>
      <c r="V17" s="1">
        <f>2043/864000</f>
        <v>0.002364583333333333</v>
      </c>
      <c r="W17" s="1">
        <f>9923/864000</f>
        <v>0.011484953703703704</v>
      </c>
      <c r="X17" s="1">
        <f>957/864000</f>
        <v>0.001107638888888889</v>
      </c>
      <c r="Y17" s="1">
        <f>933/864000</f>
        <v>0.001079861111111111</v>
      </c>
      <c r="Z17" s="1">
        <f>6471/864000</f>
        <v>0.007489583333333333</v>
      </c>
      <c r="AA17" s="1">
        <f>5521/864000</f>
        <v>0.0063900462962962964</v>
      </c>
    </row>
    <row r="18" spans="1:35" ht="14.25">
      <c r="A18" s="5">
        <v>13</v>
      </c>
      <c r="B18" s="6" t="s">
        <v>7</v>
      </c>
      <c r="C18" s="6" t="s">
        <v>7</v>
      </c>
      <c r="D18" s="6" t="s">
        <v>7</v>
      </c>
      <c r="E18" s="6" t="s">
        <v>7</v>
      </c>
      <c r="I18" s="6">
        <f>VLOOKUP(A18,'[1]Entry'!$B$2:$BV$54,73,FALSE)</f>
        <v>2</v>
      </c>
      <c r="J18" t="s">
        <v>63</v>
      </c>
      <c r="K18" t="s">
        <v>64</v>
      </c>
      <c r="L18" t="s">
        <v>65</v>
      </c>
      <c r="M18" t="s">
        <v>66</v>
      </c>
      <c r="N18" t="s">
        <v>38</v>
      </c>
      <c r="O18" t="s">
        <v>58</v>
      </c>
      <c r="P18" s="1">
        <f>2762/864000</f>
        <v>0.0031967592592592594</v>
      </c>
      <c r="Q18" s="1">
        <f>3566/864000</f>
        <v>0.0041273148148148146</v>
      </c>
      <c r="R18" s="1">
        <f>2678/864000</f>
        <v>0.003099537037037037</v>
      </c>
      <c r="S18" s="1">
        <f>3637/864000</f>
        <v>0.004209490740740741</v>
      </c>
      <c r="T18" s="1">
        <f>2177/864000</f>
        <v>0.002519675925925926</v>
      </c>
      <c r="U18" s="1">
        <f>10932/864000</f>
        <v>0.012652777777777778</v>
      </c>
      <c r="V18" s="1">
        <f>2093/864000</f>
        <v>0.0024224537037037036</v>
      </c>
      <c r="W18" s="1">
        <f>10846/864000</f>
        <v>0.012553240740740742</v>
      </c>
      <c r="X18" s="1">
        <f>941/864000</f>
        <v>0.0010891203703703703</v>
      </c>
      <c r="Y18" s="3">
        <f>1459/864000</f>
        <v>0.0016886574074074074</v>
      </c>
      <c r="Z18" s="1">
        <f>7260/864000</f>
        <v>0.008402777777777778</v>
      </c>
      <c r="AA18" s="1">
        <f>6141/864000</f>
        <v>0.007107638888888889</v>
      </c>
      <c r="AB18" s="1">
        <f>1107/864000</f>
        <v>0.00128125</v>
      </c>
      <c r="AC18" s="1">
        <f>2751/864000</f>
        <v>0.003184027777777778</v>
      </c>
      <c r="AD18" s="1">
        <f>2422/864000</f>
        <v>0.0028032407407407407</v>
      </c>
      <c r="AF18" s="1">
        <f>1099/864000</f>
        <v>0.0012719907407407406</v>
      </c>
      <c r="AG18" s="1">
        <f>2704/864000</f>
        <v>0.0031296296296296298</v>
      </c>
      <c r="AH18" s="1">
        <f>2379/864000</f>
        <v>0.0027534722222222223</v>
      </c>
      <c r="AI18" s="1">
        <f>6917/864000</f>
        <v>0.008005787037037037</v>
      </c>
    </row>
    <row r="19" spans="1:35" ht="14.25">
      <c r="A19" s="5">
        <v>15</v>
      </c>
      <c r="B19" s="6" t="s">
        <v>7</v>
      </c>
      <c r="D19" s="6" t="s">
        <v>7</v>
      </c>
      <c r="I19" s="6">
        <f>VLOOKUP(A19,'[1]Entry'!$B$2:$BV$54,73,FALSE)</f>
        <v>2</v>
      </c>
      <c r="J19" t="s">
        <v>67</v>
      </c>
      <c r="K19" t="s">
        <v>68</v>
      </c>
      <c r="L19" t="s">
        <v>69</v>
      </c>
      <c r="M19" t="s">
        <v>70</v>
      </c>
      <c r="N19" t="s">
        <v>71</v>
      </c>
      <c r="O19" t="s">
        <v>72</v>
      </c>
      <c r="P19" s="1">
        <f>2921/864000</f>
        <v>0.003380787037037037</v>
      </c>
      <c r="Q19" s="1">
        <f>3634/864000</f>
        <v>0.004206018518518519</v>
      </c>
      <c r="R19" s="1">
        <f>2986/864000</f>
        <v>0.0034560185185185184</v>
      </c>
      <c r="S19" s="1">
        <f>3737/864000</f>
        <v>0.004325231481481481</v>
      </c>
      <c r="T19" s="1">
        <f>2250/864000</f>
        <v>0.0026041666666666665</v>
      </c>
      <c r="U19" s="1">
        <f>11164/864000</f>
        <v>0.012921296296296297</v>
      </c>
      <c r="V19" s="1">
        <f>2215/864000</f>
        <v>0.0025636574074074073</v>
      </c>
      <c r="W19" s="1">
        <f>10863/864000</f>
        <v>0.012572916666666666</v>
      </c>
      <c r="X19" s="1">
        <f>936/864000</f>
        <v>0.0010833333333333333</v>
      </c>
      <c r="Y19" s="1">
        <f>946/864000</f>
        <v>0.0010949074074074075</v>
      </c>
      <c r="Z19" s="1">
        <f>6950/864000</f>
        <v>0.008043981481481482</v>
      </c>
      <c r="AA19" s="1">
        <f>5939/864000</f>
        <v>0.006873842592592593</v>
      </c>
      <c r="AB19" s="1">
        <f>1134/864000</f>
        <v>0.0013125</v>
      </c>
      <c r="AC19" s="1">
        <f>2755/864000</f>
        <v>0.0031886574074074074</v>
      </c>
      <c r="AD19" s="1">
        <f>2435/864000</f>
        <v>0.002818287037037037</v>
      </c>
      <c r="AF19" s="1">
        <f>1101/864000</f>
        <v>0.0012743055555555557</v>
      </c>
      <c r="AG19" s="1">
        <f>2748/864000</f>
        <v>0.0031805555555555554</v>
      </c>
      <c r="AH19" s="1">
        <f>2409/864000</f>
        <v>0.0027881944444444443</v>
      </c>
      <c r="AI19" s="1">
        <f>6953/864000</f>
        <v>0.008047453703703704</v>
      </c>
    </row>
    <row r="20" spans="1:26" ht="14.25">
      <c r="A20" s="5">
        <v>16</v>
      </c>
      <c r="B20" s="6" t="s">
        <v>7</v>
      </c>
      <c r="C20" s="6" t="s">
        <v>7</v>
      </c>
      <c r="D20" s="6" t="s">
        <v>7</v>
      </c>
      <c r="E20" s="6" t="s">
        <v>7</v>
      </c>
      <c r="I20" s="6">
        <f>VLOOKUP(A20,'[1]Entry'!$B$2:$BV$54,73,FALSE)</f>
        <v>2</v>
      </c>
      <c r="J20" t="s">
        <v>73</v>
      </c>
      <c r="K20" t="s">
        <v>74</v>
      </c>
      <c r="L20" t="s">
        <v>73</v>
      </c>
      <c r="M20" t="s">
        <v>75</v>
      </c>
      <c r="N20" t="s">
        <v>38</v>
      </c>
      <c r="O20" t="s">
        <v>58</v>
      </c>
      <c r="P20" s="1">
        <f>2782/864000</f>
        <v>0.0032199074074074074</v>
      </c>
      <c r="Q20" s="1">
        <f>3558/864000</f>
        <v>0.004118055555555555</v>
      </c>
      <c r="R20" s="1">
        <f>2776/864000</f>
        <v>0.003212962962962963</v>
      </c>
      <c r="S20" s="1">
        <f>3574/864000</f>
        <v>0.004136574074074074</v>
      </c>
      <c r="T20" s="1">
        <f>2184/864000</f>
        <v>0.0025277777777777777</v>
      </c>
      <c r="U20" s="1">
        <f>10966/864000</f>
        <v>0.01269212962962963</v>
      </c>
      <c r="V20" s="1">
        <f>2161/864000</f>
        <v>0.0025011574074074072</v>
      </c>
      <c r="W20" s="1">
        <f>10765/864000</f>
        <v>0.012459490740740741</v>
      </c>
      <c r="X20" s="3">
        <f>1461/864000</f>
        <v>0.0016909722222222222</v>
      </c>
      <c r="Y20" s="1">
        <f>970/864000</f>
        <v>0.0011226851851851851</v>
      </c>
      <c r="Z20" s="1">
        <f>7872/864000</f>
        <v>0.009111111111111111</v>
      </c>
    </row>
    <row r="21" spans="1:27" ht="14.25">
      <c r="A21" s="5">
        <v>17</v>
      </c>
      <c r="B21" s="6" t="s">
        <v>7</v>
      </c>
      <c r="C21" s="6" t="s">
        <v>7</v>
      </c>
      <c r="F21" s="6" t="s">
        <v>7</v>
      </c>
      <c r="I21" s="6">
        <f>VLOOKUP(A21,'[1]Entry'!$B$2:$BV$54,73,FALSE)</f>
        <v>2</v>
      </c>
      <c r="J21" t="s">
        <v>76</v>
      </c>
      <c r="K21" t="s">
        <v>77</v>
      </c>
      <c r="L21" t="s">
        <v>78</v>
      </c>
      <c r="M21" t="s">
        <v>79</v>
      </c>
      <c r="N21" t="s">
        <v>80</v>
      </c>
      <c r="O21" t="s">
        <v>81</v>
      </c>
      <c r="P21" s="1">
        <f>2911/864000</f>
        <v>0.003369212962962963</v>
      </c>
      <c r="Q21" s="1">
        <f>3604/864000</f>
        <v>0.004171296296296296</v>
      </c>
      <c r="R21" s="1">
        <f>2821/864000</f>
        <v>0.0032650462962962963</v>
      </c>
      <c r="S21" s="1">
        <f>3719/864000</f>
        <v>0.004304398148148148</v>
      </c>
      <c r="T21" s="1">
        <f>2215/864000</f>
        <v>0.0025636574074074073</v>
      </c>
      <c r="U21" s="1">
        <f>11107/864000</f>
        <v>0.012855324074074075</v>
      </c>
      <c r="V21" s="1">
        <f>2122/864000</f>
        <v>0.0024560185185185184</v>
      </c>
      <c r="W21" s="1">
        <f>10834/864000</f>
        <v>0.012539351851851852</v>
      </c>
      <c r="X21" s="1">
        <f>1005/864000</f>
        <v>0.0011631944444444443</v>
      </c>
      <c r="Y21" s="1">
        <f>976/864000</f>
        <v>0.0011296296296296297</v>
      </c>
      <c r="Z21" s="1">
        <f>7191/864000</f>
        <v>0.008322916666666666</v>
      </c>
      <c r="AA21" s="1">
        <f>6309/864000</f>
        <v>0.007302083333333333</v>
      </c>
    </row>
    <row r="22" spans="1:35" ht="14.25">
      <c r="A22" s="5">
        <v>18</v>
      </c>
      <c r="B22" s="6" t="s">
        <v>7</v>
      </c>
      <c r="D22" s="6" t="s">
        <v>7</v>
      </c>
      <c r="E22" s="6" t="s">
        <v>7</v>
      </c>
      <c r="I22" s="6">
        <f>VLOOKUP(A22,'[1]Entry'!$B$2:$BV$54,73,FALSE)</f>
        <v>2</v>
      </c>
      <c r="J22" t="s">
        <v>82</v>
      </c>
      <c r="K22" t="s">
        <v>26</v>
      </c>
      <c r="L22" t="s">
        <v>83</v>
      </c>
      <c r="M22" t="s">
        <v>84</v>
      </c>
      <c r="N22" t="s">
        <v>85</v>
      </c>
      <c r="O22" t="s">
        <v>86</v>
      </c>
      <c r="P22" s="1">
        <f>2992/864000</f>
        <v>0.003462962962962963</v>
      </c>
      <c r="Q22" s="1">
        <f>3822/864000</f>
        <v>0.004423611111111111</v>
      </c>
      <c r="R22" s="1">
        <f>2964/864000</f>
        <v>0.0034305555555555556</v>
      </c>
      <c r="S22" s="1">
        <f>3645/864000</f>
        <v>0.00421875</v>
      </c>
      <c r="T22" s="1">
        <f>2246/864000</f>
        <v>0.002599537037037037</v>
      </c>
      <c r="U22" s="1">
        <f>11066/864000</f>
        <v>0.01280787037037037</v>
      </c>
      <c r="V22" s="1">
        <f>2193/864000</f>
        <v>0.0025381944444444445</v>
      </c>
      <c r="W22" s="1">
        <f>11155/864000</f>
        <v>0.01291087962962963</v>
      </c>
      <c r="X22" s="1">
        <f>982/864000</f>
        <v>0.0011365740740740741</v>
      </c>
      <c r="Y22" s="1">
        <f>969/864000</f>
        <v>0.0011215277777777777</v>
      </c>
      <c r="Z22" s="1">
        <f>7430/864000</f>
        <v>0.008599537037037037</v>
      </c>
      <c r="AA22" s="1">
        <f>6213/864000</f>
        <v>0.007190972222222222</v>
      </c>
      <c r="AB22" s="1">
        <f>1137/864000</f>
        <v>0.0013159722222222223</v>
      </c>
      <c r="AC22" s="1">
        <f>2851/864000</f>
        <v>0.0032997685185185187</v>
      </c>
      <c r="AD22" s="1">
        <f>2422/864000</f>
        <v>0.0028032407407407407</v>
      </c>
      <c r="AF22" s="1">
        <f>1108/864000</f>
        <v>0.0012824074074074075</v>
      </c>
      <c r="AG22" s="1">
        <f>2789/864000</f>
        <v>0.0032280092592592595</v>
      </c>
      <c r="AH22" s="1">
        <f>2372/864000</f>
        <v>0.0027453703703703702</v>
      </c>
      <c r="AI22" s="1">
        <f>7110/864000</f>
        <v>0.008229166666666666</v>
      </c>
    </row>
    <row r="23" spans="1:35" ht="14.25">
      <c r="A23" s="5">
        <v>19</v>
      </c>
      <c r="B23" s="6" t="s">
        <v>7</v>
      </c>
      <c r="D23" s="6" t="s">
        <v>7</v>
      </c>
      <c r="F23" s="6" t="s">
        <v>7</v>
      </c>
      <c r="I23" s="6">
        <f>VLOOKUP(A23,'[1]Entry'!$B$2:$BV$54,73,FALSE)</f>
        <v>2</v>
      </c>
      <c r="J23" t="s">
        <v>87</v>
      </c>
      <c r="K23" t="s">
        <v>88</v>
      </c>
      <c r="L23" t="s">
        <v>89</v>
      </c>
      <c r="M23" t="s">
        <v>90</v>
      </c>
      <c r="N23" t="s">
        <v>12</v>
      </c>
      <c r="O23" t="s">
        <v>91</v>
      </c>
      <c r="P23" s="1">
        <f>2892/864000</f>
        <v>0.0033472222222222224</v>
      </c>
      <c r="Q23" s="1">
        <f>3716/864000</f>
        <v>0.004300925925925926</v>
      </c>
      <c r="R23" s="1">
        <f>2842/864000</f>
        <v>0.003289351851851852</v>
      </c>
      <c r="S23" s="1">
        <f>3680/864000</f>
        <v>0.0042592592592592595</v>
      </c>
      <c r="T23" s="1">
        <f>2264/864000</f>
        <v>0.0026203703703703706</v>
      </c>
      <c r="U23" s="1">
        <f>11234/864000</f>
        <v>0.013002314814814816</v>
      </c>
      <c r="V23" s="1">
        <f>2240/864000</f>
        <v>0.0025925925925925925</v>
      </c>
      <c r="W23" s="1">
        <f>11025/864000</f>
        <v>0.012760416666666666</v>
      </c>
      <c r="X23" s="1">
        <f>967/864000</f>
        <v>0.001119212962962963</v>
      </c>
      <c r="Y23" s="1">
        <f>1002/864000</f>
        <v>0.0011597222222222221</v>
      </c>
      <c r="Z23" s="1">
        <f>7413/864000</f>
        <v>0.008579861111111111</v>
      </c>
      <c r="AA23" s="1">
        <f>6265/864000</f>
        <v>0.0072511574074074076</v>
      </c>
      <c r="AB23" s="1">
        <f>1212/864000</f>
        <v>0.0014027777777777777</v>
      </c>
      <c r="AC23" s="1">
        <f>2942/864000</f>
        <v>0.003405092592592593</v>
      </c>
      <c r="AD23" s="1">
        <f>2507/864000</f>
        <v>0.0029016203703703704</v>
      </c>
      <c r="AF23" s="1">
        <f>1187/864000</f>
        <v>0.0013738425925925925</v>
      </c>
      <c r="AG23" s="1">
        <f>2865/864000</f>
        <v>0.0033159722222222223</v>
      </c>
      <c r="AH23" s="1">
        <f>2477/864000</f>
        <v>0.002866898148148148</v>
      </c>
      <c r="AI23" s="1">
        <f>7347/864000</f>
        <v>0.008503472222222223</v>
      </c>
    </row>
    <row r="24" spans="1:25" ht="14.25">
      <c r="A24" s="5">
        <v>20</v>
      </c>
      <c r="B24" s="6" t="s">
        <v>7</v>
      </c>
      <c r="C24" s="6" t="s">
        <v>7</v>
      </c>
      <c r="D24" s="6" t="s">
        <v>7</v>
      </c>
      <c r="F24" s="6" t="s">
        <v>7</v>
      </c>
      <c r="I24" s="6">
        <f>VLOOKUP(A24,'[1]Entry'!$B$2:$BV$54,73,FALSE)</f>
        <v>2</v>
      </c>
      <c r="J24" t="s">
        <v>92</v>
      </c>
      <c r="K24" t="s">
        <v>93</v>
      </c>
      <c r="L24" t="s">
        <v>94</v>
      </c>
      <c r="M24" t="s">
        <v>95</v>
      </c>
      <c r="N24" t="s">
        <v>96</v>
      </c>
      <c r="O24" t="s">
        <v>97</v>
      </c>
      <c r="P24" s="1">
        <f>3011/864000</f>
        <v>0.0034849537037037037</v>
      </c>
      <c r="Q24" s="1">
        <f>3716/864000</f>
        <v>0.004300925925925926</v>
      </c>
      <c r="R24" s="1">
        <f>3011/864000</f>
        <v>0.0034849537037037037</v>
      </c>
      <c r="S24" s="1">
        <f>4104/864000</f>
        <v>0.00475</v>
      </c>
      <c r="T24" s="1">
        <f>2577/864000</f>
        <v>0.002982638888888889</v>
      </c>
      <c r="U24" s="1">
        <f>11416/864000</f>
        <v>0.013212962962962963</v>
      </c>
      <c r="V24" s="1">
        <f>2403/864000</f>
        <v>0.00278125</v>
      </c>
      <c r="W24" s="1">
        <f>11254/864000</f>
        <v>0.013025462962962963</v>
      </c>
      <c r="X24" s="1">
        <f>1022/864000</f>
        <v>0.0011828703703703704</v>
      </c>
      <c r="Y24" s="1">
        <f>961/864000</f>
        <v>0.0011122685185185185</v>
      </c>
    </row>
    <row r="25" spans="1:35" ht="14.25">
      <c r="A25" s="5">
        <v>21</v>
      </c>
      <c r="B25" s="6" t="s">
        <v>7</v>
      </c>
      <c r="C25" s="6" t="s">
        <v>7</v>
      </c>
      <c r="D25" s="6" t="s">
        <v>7</v>
      </c>
      <c r="F25" s="6" t="s">
        <v>7</v>
      </c>
      <c r="I25" s="6">
        <f>VLOOKUP(A25,'[1]Entry'!$B$2:$BV$54,73,FALSE)</f>
        <v>4</v>
      </c>
      <c r="J25" t="s">
        <v>98</v>
      </c>
      <c r="K25" t="s">
        <v>48</v>
      </c>
      <c r="L25" t="s">
        <v>99</v>
      </c>
      <c r="M25" t="s">
        <v>48</v>
      </c>
      <c r="N25" t="s">
        <v>18</v>
      </c>
      <c r="O25" t="s">
        <v>100</v>
      </c>
      <c r="P25" s="1">
        <f>2876/864000</f>
        <v>0.0033287037037037035</v>
      </c>
      <c r="Q25" s="1">
        <f>3870/864000</f>
        <v>0.004479166666666667</v>
      </c>
      <c r="R25" s="1">
        <f>3102/864000</f>
        <v>0.0035902777777777777</v>
      </c>
      <c r="S25" s="1">
        <f>3850/864000</f>
        <v>0.004456018518518519</v>
      </c>
      <c r="T25" s="1">
        <f>2375/864000</f>
        <v>0.0027488425925925927</v>
      </c>
      <c r="U25" s="1">
        <f>11527/864000</f>
        <v>0.013341435185185185</v>
      </c>
      <c r="V25" s="1">
        <f>2239/864000</f>
        <v>0.0025914351851851853</v>
      </c>
      <c r="W25" s="1">
        <f>11302/864000</f>
        <v>0.013081018518518518</v>
      </c>
      <c r="X25" s="1">
        <f>998/864000</f>
        <v>0.0011550925925925925</v>
      </c>
      <c r="Y25" s="1">
        <f>1031/864000</f>
        <v>0.001193287037037037</v>
      </c>
      <c r="Z25" s="1">
        <f>7437/864000</f>
        <v>0.008607638888888889</v>
      </c>
      <c r="AA25" s="1">
        <f>6521/864000</f>
        <v>0.007547453703703704</v>
      </c>
      <c r="AB25" s="1">
        <f>1263/864000</f>
        <v>0.0014618055555555556</v>
      </c>
      <c r="AC25" s="1">
        <f>2906/864000</f>
        <v>0.003363425925925926</v>
      </c>
      <c r="AD25" s="1">
        <f>2587/864000</f>
        <v>0.002994212962962963</v>
      </c>
      <c r="AF25" s="1">
        <f>1205/864000</f>
        <v>0.001394675925925926</v>
      </c>
      <c r="AG25" s="1">
        <f>2903/864000</f>
        <v>0.0033599537037037035</v>
      </c>
      <c r="AH25" s="1">
        <f>2529/864000</f>
        <v>0.002927083333333333</v>
      </c>
      <c r="AI25" s="3">
        <f>7318/864000</f>
        <v>0.008469907407407407</v>
      </c>
    </row>
    <row r="26" spans="1:35" ht="14.25">
      <c r="A26" s="5">
        <v>22</v>
      </c>
      <c r="B26" s="6" t="s">
        <v>7</v>
      </c>
      <c r="C26" s="6" t="s">
        <v>7</v>
      </c>
      <c r="D26" s="6" t="s">
        <v>7</v>
      </c>
      <c r="F26" s="6" t="s">
        <v>7</v>
      </c>
      <c r="I26" s="6">
        <f>VLOOKUP(A26,'[1]Entry'!$B$2:$BV$54,73,FALSE)</f>
        <v>4</v>
      </c>
      <c r="J26" t="s">
        <v>101</v>
      </c>
      <c r="K26" t="s">
        <v>102</v>
      </c>
      <c r="L26" t="s">
        <v>103</v>
      </c>
      <c r="M26" t="s">
        <v>104</v>
      </c>
      <c r="N26" t="s">
        <v>18</v>
      </c>
      <c r="O26" t="s">
        <v>44</v>
      </c>
      <c r="P26" s="1">
        <f>3100/864000</f>
        <v>0.003587962962962963</v>
      </c>
      <c r="Q26" s="1">
        <f>3893/864000</f>
        <v>0.004505787037037037</v>
      </c>
      <c r="R26" s="1">
        <f>2796/864000</f>
        <v>0.003236111111111111</v>
      </c>
      <c r="S26" s="1">
        <f>3731/864000</f>
        <v>0.004318287037037037</v>
      </c>
      <c r="T26" s="1">
        <f>2303/864000</f>
        <v>0.0026655092592592594</v>
      </c>
      <c r="U26" s="1">
        <f>11106/864000</f>
        <v>0.012854166666666667</v>
      </c>
      <c r="V26" s="1">
        <f>2191/864000</f>
        <v>0.0025358796296296297</v>
      </c>
      <c r="W26" s="1">
        <f>10889/864000</f>
        <v>0.01260300925925926</v>
      </c>
      <c r="X26" s="1">
        <f>1005/864000</f>
        <v>0.0011631944444444443</v>
      </c>
      <c r="Y26" s="1">
        <f>1017/864000</f>
        <v>0.0011770833333333334</v>
      </c>
      <c r="Z26" s="1">
        <f>6784/864000</f>
        <v>0.007851851851851851</v>
      </c>
      <c r="AA26" s="1">
        <f>5812/864000</f>
        <v>0.006726851851851852</v>
      </c>
      <c r="AB26" s="1">
        <f>1199/864000</f>
        <v>0.0013877314814814815</v>
      </c>
      <c r="AC26" s="1">
        <f>2829/864000</f>
        <v>0.0032743055555555555</v>
      </c>
      <c r="AD26" s="1">
        <f>2397/864000</f>
        <v>0.0027743055555555555</v>
      </c>
      <c r="AF26" s="1">
        <f>1099/864000</f>
        <v>0.0012719907407407406</v>
      </c>
      <c r="AG26" s="1">
        <f>2676/864000</f>
        <v>0.003097222222222222</v>
      </c>
      <c r="AH26" s="1">
        <f>2362/864000</f>
        <v>0.0027337962962962962</v>
      </c>
      <c r="AI26" s="1">
        <f>6853/864000</f>
        <v>0.007931712962962963</v>
      </c>
    </row>
    <row r="27" spans="1:35" ht="14.25">
      <c r="A27" s="5">
        <v>23</v>
      </c>
      <c r="B27" s="6" t="s">
        <v>7</v>
      </c>
      <c r="C27" s="6" t="s">
        <v>7</v>
      </c>
      <c r="D27" s="6" t="s">
        <v>7</v>
      </c>
      <c r="E27" s="6" t="s">
        <v>7</v>
      </c>
      <c r="I27" s="6">
        <f>VLOOKUP(A27,'[1]Entry'!$B$2:$BV$54,73,FALSE)</f>
        <v>2</v>
      </c>
      <c r="J27" t="s">
        <v>105</v>
      </c>
      <c r="K27" t="s">
        <v>106</v>
      </c>
      <c r="L27" t="s">
        <v>105</v>
      </c>
      <c r="M27" t="s">
        <v>107</v>
      </c>
      <c r="N27" t="s">
        <v>108</v>
      </c>
      <c r="O27" t="s">
        <v>109</v>
      </c>
      <c r="P27" s="1">
        <f>3015/864000</f>
        <v>0.0034895833333333333</v>
      </c>
      <c r="Q27" s="1">
        <f>3915/864000</f>
        <v>0.00453125</v>
      </c>
      <c r="R27" s="1">
        <f>2947/864000</f>
        <v>0.0034108796296296296</v>
      </c>
      <c r="S27" s="1">
        <f>3770/864000</f>
        <v>0.004363425925925926</v>
      </c>
      <c r="T27" s="1">
        <f>2275/864000</f>
        <v>0.0026331018518518517</v>
      </c>
      <c r="U27" s="1">
        <f>11689/864000</f>
        <v>0.013528935185185186</v>
      </c>
      <c r="V27" s="1">
        <f>2198/864000</f>
        <v>0.0025439814814814813</v>
      </c>
      <c r="W27" s="1">
        <f>11327/864000</f>
        <v>0.013109953703703704</v>
      </c>
      <c r="X27" s="1">
        <f>965/864000</f>
        <v>0.0011168981481481481</v>
      </c>
      <c r="Y27" s="1">
        <f>957/864000</f>
        <v>0.001107638888888889</v>
      </c>
      <c r="Z27" s="1">
        <f>7423/864000</f>
        <v>0.008591435185185185</v>
      </c>
      <c r="AA27" s="1">
        <f>6201/864000</f>
        <v>0.007177083333333333</v>
      </c>
      <c r="AB27" s="1">
        <f>1190/864000</f>
        <v>0.0013773148148148147</v>
      </c>
      <c r="AC27" s="1">
        <f>2866/864000</f>
        <v>0.0033171296296296295</v>
      </c>
      <c r="AD27" s="1">
        <f>2515/864000</f>
        <v>0.0029108796296296296</v>
      </c>
      <c r="AF27" s="1">
        <f>1145/864000</f>
        <v>0.0013252314814814815</v>
      </c>
      <c r="AG27" s="1">
        <f>2797/864000</f>
        <v>0.0032372685185185187</v>
      </c>
      <c r="AH27" s="1">
        <f>2445/864000</f>
        <v>0.002829861111111111</v>
      </c>
      <c r="AI27" s="1">
        <f>7150/864000</f>
        <v>0.008275462962962964</v>
      </c>
    </row>
    <row r="28" spans="1:35" ht="14.25">
      <c r="A28" s="5">
        <v>24</v>
      </c>
      <c r="B28" s="6" t="s">
        <v>7</v>
      </c>
      <c r="C28" s="6" t="s">
        <v>7</v>
      </c>
      <c r="D28" s="6" t="s">
        <v>7</v>
      </c>
      <c r="E28" s="6" t="s">
        <v>7</v>
      </c>
      <c r="I28" s="6">
        <f>VLOOKUP(A28,'[1]Entry'!$B$2:$BV$54,73,FALSE)</f>
        <v>2</v>
      </c>
      <c r="J28" t="s">
        <v>110</v>
      </c>
      <c r="K28" t="s">
        <v>84</v>
      </c>
      <c r="L28" t="s">
        <v>110</v>
      </c>
      <c r="M28" t="s">
        <v>111</v>
      </c>
      <c r="N28" t="s">
        <v>71</v>
      </c>
      <c r="O28" t="s">
        <v>72</v>
      </c>
      <c r="P28" s="1">
        <f>3075/864000</f>
        <v>0.0035590277777777777</v>
      </c>
      <c r="Q28" s="1">
        <f>3896/864000</f>
        <v>0.004509259259259259</v>
      </c>
      <c r="R28" s="1">
        <f>3071/864000</f>
        <v>0.003554398148148148</v>
      </c>
      <c r="S28" s="1">
        <f>3779/864000</f>
        <v>0.004373842592592592</v>
      </c>
      <c r="T28" s="1">
        <f>2333/864000</f>
        <v>0.0027002314814814814</v>
      </c>
      <c r="U28" s="1">
        <f>11761/864000</f>
        <v>0.013612268518518518</v>
      </c>
      <c r="V28" s="1">
        <f>2265/864000</f>
        <v>0.0026215277777777777</v>
      </c>
      <c r="W28" s="1">
        <f>11647/864000</f>
        <v>0.013480324074074073</v>
      </c>
      <c r="X28" s="1">
        <f>996/864000</f>
        <v>0.0011527777777777777</v>
      </c>
      <c r="Y28" s="1">
        <f>997/864000</f>
        <v>0.0011539351851851851</v>
      </c>
      <c r="Z28" s="1">
        <f>8164/864000</f>
        <v>0.009449074074074073</v>
      </c>
      <c r="AA28" s="1">
        <f>6956/864000</f>
        <v>0.008050925925925927</v>
      </c>
      <c r="AB28" s="1">
        <f>1172/864000</f>
        <v>0.0013564814814814815</v>
      </c>
      <c r="AC28" s="1">
        <f>2901/864000</f>
        <v>0.0033576388888888887</v>
      </c>
      <c r="AD28" s="1">
        <f>2541/864000</f>
        <v>0.0029409722222222224</v>
      </c>
      <c r="AF28" s="1">
        <f>1143/864000</f>
        <v>0.0013229166666666667</v>
      </c>
      <c r="AG28" s="1">
        <f>2865/864000</f>
        <v>0.0033159722222222223</v>
      </c>
      <c r="AH28" s="1">
        <f>2490/864000</f>
        <v>0.0028819444444444444</v>
      </c>
      <c r="AI28" s="1">
        <f>7445/864000</f>
        <v>0.008616898148148148</v>
      </c>
    </row>
    <row r="29" spans="1:35" ht="14.25">
      <c r="A29" s="5">
        <v>25</v>
      </c>
      <c r="B29" s="6" t="s">
        <v>7</v>
      </c>
      <c r="D29" s="6" t="s">
        <v>7</v>
      </c>
      <c r="I29" s="6">
        <f>VLOOKUP(A29,'[1]Entry'!$B$2:$BV$54,73,FALSE)</f>
        <v>2</v>
      </c>
      <c r="J29" t="s">
        <v>112</v>
      </c>
      <c r="K29" t="s">
        <v>15</v>
      </c>
      <c r="L29" t="s">
        <v>113</v>
      </c>
      <c r="M29" t="s">
        <v>114</v>
      </c>
      <c r="N29" t="s">
        <v>115</v>
      </c>
      <c r="O29" t="s">
        <v>116</v>
      </c>
      <c r="P29" s="1">
        <f>2962/864000</f>
        <v>0.003428240740740741</v>
      </c>
      <c r="Q29" s="1">
        <f>3864/864000</f>
        <v>0.004472222222222222</v>
      </c>
      <c r="R29" s="1">
        <f>2856/864000</f>
        <v>0.0033055555555555555</v>
      </c>
      <c r="S29" s="1">
        <f>3697/864000</f>
        <v>0.004278935185185185</v>
      </c>
      <c r="T29" s="1">
        <f>2261/864000</f>
        <v>0.002616898148148148</v>
      </c>
      <c r="U29" s="1">
        <f>11054/864000</f>
        <v>0.01279398148148148</v>
      </c>
      <c r="V29" s="1">
        <f>2256/864000</f>
        <v>0.002611111111111111</v>
      </c>
      <c r="W29" s="1">
        <f>10972/864000</f>
        <v>0.012699074074074074</v>
      </c>
      <c r="X29" s="1">
        <f>963/864000</f>
        <v>0.0011145833333333333</v>
      </c>
      <c r="Y29" s="1">
        <f>981/864000</f>
        <v>0.0011354166666666667</v>
      </c>
      <c r="Z29" s="1">
        <f>7329/864000</f>
        <v>0.008482638888888889</v>
      </c>
      <c r="AA29" s="1">
        <f>6362/864000</f>
        <v>0.007363425925925926</v>
      </c>
      <c r="AB29" s="1">
        <f>1209/864000</f>
        <v>0.0013993055555555555</v>
      </c>
      <c r="AC29" s="1">
        <f>2892/864000</f>
        <v>0.0033472222222222224</v>
      </c>
      <c r="AD29" s="1">
        <f>2484/864000</f>
        <v>0.002875</v>
      </c>
      <c r="AF29" s="1">
        <f>1200/864000</f>
        <v>0.001388888888888889</v>
      </c>
      <c r="AG29" s="1">
        <f>2870/864000</f>
        <v>0.003321759259259259</v>
      </c>
      <c r="AH29" s="1">
        <f>2462/864000</f>
        <v>0.002849537037037037</v>
      </c>
      <c r="AI29" s="1">
        <f>7186/864000</f>
        <v>0.00831712962962963</v>
      </c>
    </row>
    <row r="30" spans="1:35" ht="14.25">
      <c r="A30" s="5">
        <v>26</v>
      </c>
      <c r="B30" s="6" t="s">
        <v>7</v>
      </c>
      <c r="C30" s="6" t="s">
        <v>7</v>
      </c>
      <c r="D30" s="6" t="s">
        <v>7</v>
      </c>
      <c r="E30" s="6" t="s">
        <v>7</v>
      </c>
      <c r="I30" s="6">
        <f>VLOOKUP(A30,'[1]Entry'!$B$2:$BV$54,73,FALSE)</f>
        <v>2</v>
      </c>
      <c r="J30" t="s">
        <v>117</v>
      </c>
      <c r="K30" t="s">
        <v>106</v>
      </c>
      <c r="L30" t="s">
        <v>118</v>
      </c>
      <c r="M30" t="s">
        <v>43</v>
      </c>
      <c r="N30" t="s">
        <v>38</v>
      </c>
      <c r="O30" t="s">
        <v>58</v>
      </c>
      <c r="P30" s="1">
        <f>3104/864000</f>
        <v>0.0035925925925925925</v>
      </c>
      <c r="Q30" s="1">
        <f>3869/864000</f>
        <v>0.004478009259259259</v>
      </c>
      <c r="R30" s="1">
        <f>2992/864000</f>
        <v>0.003462962962962963</v>
      </c>
      <c r="S30" s="1">
        <f>3878/864000</f>
        <v>0.004488425925925926</v>
      </c>
      <c r="T30" s="1">
        <f>3090/864000</f>
        <v>0.003576388888888889</v>
      </c>
      <c r="U30" s="2">
        <f>12538/864000</f>
        <v>0.014511574074074074</v>
      </c>
      <c r="V30" s="2">
        <f>2793/864000</f>
        <v>0.003232638888888889</v>
      </c>
      <c r="W30" s="2">
        <f>12527/864000</f>
        <v>0.014498842592592593</v>
      </c>
      <c r="X30" s="2">
        <f>1398/864000</f>
        <v>0.0016180555555555555</v>
      </c>
      <c r="Y30" s="2">
        <f>1385/864000</f>
        <v>0.0016030092592592593</v>
      </c>
      <c r="Z30" s="1">
        <f>8195/864000</f>
        <v>0.009484953703703704</v>
      </c>
      <c r="AA30" s="1">
        <f>6730/864000</f>
        <v>0.007789351851851852</v>
      </c>
      <c r="AB30" s="1">
        <f>1251/864000</f>
        <v>0.0014479166666666666</v>
      </c>
      <c r="AC30" s="1">
        <f>3021/864000</f>
        <v>0.0034965277777777777</v>
      </c>
      <c r="AD30" s="1">
        <f>2764/864000</f>
        <v>0.0031990740740740742</v>
      </c>
      <c r="AF30" s="1">
        <f>1267/864000</f>
        <v>0.0014664351851851852</v>
      </c>
      <c r="AG30" s="1">
        <f>2999/864000</f>
        <v>0.003471064814814815</v>
      </c>
      <c r="AH30" s="1">
        <f>2620/864000</f>
        <v>0.0030324074074074073</v>
      </c>
      <c r="AI30" s="1">
        <f>7725/864000</f>
        <v>0.008940972222222222</v>
      </c>
    </row>
    <row r="31" spans="1:35" ht="14.25">
      <c r="A31" s="5">
        <v>27</v>
      </c>
      <c r="B31" s="6" t="s">
        <v>7</v>
      </c>
      <c r="C31" s="6" t="s">
        <v>7</v>
      </c>
      <c r="F31" s="6" t="s">
        <v>7</v>
      </c>
      <c r="I31" s="6">
        <f>VLOOKUP(A31,'[1]Entry'!$B$2:$BV$54,73,FALSE)</f>
        <v>2</v>
      </c>
      <c r="J31" t="s">
        <v>119</v>
      </c>
      <c r="K31" t="s">
        <v>120</v>
      </c>
      <c r="L31" t="s">
        <v>121</v>
      </c>
      <c r="M31" t="s">
        <v>122</v>
      </c>
      <c r="N31" t="s">
        <v>38</v>
      </c>
      <c r="O31" t="s">
        <v>123</v>
      </c>
      <c r="P31" s="1">
        <f>3352/864000</f>
        <v>0.0038796296296296296</v>
      </c>
      <c r="Q31" s="1">
        <f>4174/864000</f>
        <v>0.004831018518518518</v>
      </c>
      <c r="R31" s="1">
        <f>3243/864000</f>
        <v>0.0037534722222222223</v>
      </c>
      <c r="S31" s="1">
        <f>4190/864000</f>
        <v>0.004849537037037037</v>
      </c>
      <c r="T31" s="1">
        <f>2529/864000</f>
        <v>0.002927083333333333</v>
      </c>
      <c r="U31" s="1">
        <f>12069/864000</f>
        <v>0.01396875</v>
      </c>
      <c r="V31" s="1">
        <f>2469/864000</f>
        <v>0.0028576388888888887</v>
      </c>
      <c r="W31" s="1">
        <f>11847/864000</f>
        <v>0.013711805555555555</v>
      </c>
      <c r="X31" s="1">
        <f>1088/864000</f>
        <v>0.0012592592592592592</v>
      </c>
      <c r="Y31" s="1">
        <f>1018/864000</f>
        <v>0.0011782407407407408</v>
      </c>
      <c r="Z31" s="1">
        <f>8041/864000</f>
        <v>0.009306712962962963</v>
      </c>
      <c r="AA31" s="1">
        <f>6721/864000</f>
        <v>0.007778935185185186</v>
      </c>
      <c r="AB31" s="1">
        <f>1313/864000</f>
        <v>0.0015196759259259258</v>
      </c>
      <c r="AC31" s="1">
        <f>3257/864000</f>
        <v>0.003769675925925926</v>
      </c>
      <c r="AD31" s="1">
        <f>2721/864000</f>
        <v>0.0031493055555555554</v>
      </c>
      <c r="AF31" s="1">
        <f>1242/864000</f>
        <v>0.0014375</v>
      </c>
      <c r="AG31" s="1">
        <f>3122/864000</f>
        <v>0.0036134259259259257</v>
      </c>
      <c r="AH31" s="1">
        <f>2703/864000</f>
        <v>0.003128472222222222</v>
      </c>
      <c r="AI31" s="1">
        <f>8584/864000</f>
        <v>0.009935185185185186</v>
      </c>
    </row>
    <row r="32" spans="1:35" ht="14.25">
      <c r="A32" s="5">
        <v>28</v>
      </c>
      <c r="B32" s="6" t="s">
        <v>7</v>
      </c>
      <c r="C32" s="6" t="s">
        <v>7</v>
      </c>
      <c r="F32" s="6" t="s">
        <v>7</v>
      </c>
      <c r="I32" s="6">
        <f>VLOOKUP(A32,'[1]Entry'!$B$2:$BV$54,73,FALSE)</f>
        <v>2</v>
      </c>
      <c r="J32" t="s">
        <v>124</v>
      </c>
      <c r="K32" t="s">
        <v>125</v>
      </c>
      <c r="L32" t="s">
        <v>126</v>
      </c>
      <c r="M32" t="s">
        <v>127</v>
      </c>
      <c r="N32" t="s">
        <v>128</v>
      </c>
      <c r="O32" t="s">
        <v>129</v>
      </c>
      <c r="P32" s="1">
        <f>2907/864000</f>
        <v>0.003364583333333333</v>
      </c>
      <c r="Q32" s="1">
        <f>3926/864000</f>
        <v>0.004543981481481481</v>
      </c>
      <c r="R32" s="1">
        <f>2878/864000</f>
        <v>0.0033310185185185183</v>
      </c>
      <c r="S32" s="1">
        <f>3938/864000</f>
        <v>0.00455787037037037</v>
      </c>
      <c r="T32" s="1">
        <f>2286/864000</f>
        <v>0.0026458333333333334</v>
      </c>
      <c r="U32" s="1">
        <f>11409/864000</f>
        <v>0.013204861111111112</v>
      </c>
      <c r="V32" s="1">
        <f>2252/864000</f>
        <v>0.0026064814814814813</v>
      </c>
      <c r="W32" s="1">
        <f>11354/864000</f>
        <v>0.013141203703703704</v>
      </c>
      <c r="X32" s="1">
        <f>974/864000</f>
        <v>0.0011273148148148147</v>
      </c>
      <c r="Y32" s="1">
        <f>983/864000</f>
        <v>0.0011377314814814815</v>
      </c>
      <c r="Z32" s="1">
        <f>7565/864000</f>
        <v>0.008755787037037038</v>
      </c>
      <c r="AA32" s="1">
        <f>6324/864000</f>
        <v>0.007319444444444444</v>
      </c>
      <c r="AB32" s="1">
        <f>1219/864000</f>
        <v>0.0014108796296296295</v>
      </c>
      <c r="AC32" s="1">
        <f>2949/864000</f>
        <v>0.0034131944444444444</v>
      </c>
      <c r="AD32" s="1">
        <f>2568/864000</f>
        <v>0.002972222222222222</v>
      </c>
      <c r="AF32" s="1">
        <f>1224/864000</f>
        <v>0.0014166666666666668</v>
      </c>
      <c r="AG32" s="1">
        <f>2896/864000</f>
        <v>0.003351851851851852</v>
      </c>
      <c r="AH32" s="1">
        <f>2552/864000</f>
        <v>0.0029537037037037036</v>
      </c>
      <c r="AI32" s="1">
        <f>7295/864000</f>
        <v>0.008443287037037037</v>
      </c>
    </row>
    <row r="33" spans="1:34" ht="14.25">
      <c r="A33" s="5">
        <v>29</v>
      </c>
      <c r="D33" s="6" t="s">
        <v>7</v>
      </c>
      <c r="F33" s="6" t="s">
        <v>7</v>
      </c>
      <c r="I33" s="6">
        <f>VLOOKUP(A33,'[1]Entry'!$B$2:$BV$54,73,FALSE)</f>
        <v>4</v>
      </c>
      <c r="J33" t="s">
        <v>130</v>
      </c>
      <c r="K33" t="s">
        <v>131</v>
      </c>
      <c r="L33" t="s">
        <v>132</v>
      </c>
      <c r="M33" t="s">
        <v>133</v>
      </c>
      <c r="N33" t="s">
        <v>27</v>
      </c>
      <c r="O33" t="s">
        <v>28</v>
      </c>
      <c r="P33" s="1">
        <f>2730/864000</f>
        <v>0.003159722222222222</v>
      </c>
      <c r="Q33" s="1">
        <f>3653/864000</f>
        <v>0.0042280092592592595</v>
      </c>
      <c r="R33" s="1">
        <f>2718/864000</f>
        <v>0.0031458333333333334</v>
      </c>
      <c r="S33" s="1">
        <f>3528/864000</f>
        <v>0.004083333333333333</v>
      </c>
      <c r="T33" s="1">
        <f>2170/864000</f>
        <v>0.002511574074074074</v>
      </c>
      <c r="U33" s="1">
        <f>10569/864000</f>
        <v>0.012232638888888888</v>
      </c>
      <c r="V33" s="1">
        <f>2112/864000</f>
        <v>0.0024444444444444444</v>
      </c>
      <c r="W33" s="1">
        <f>10477/864000</f>
        <v>0.012126157407407407</v>
      </c>
      <c r="X33" s="1">
        <f>982/864000</f>
        <v>0.0011365740740740741</v>
      </c>
      <c r="Y33" s="1">
        <f>971/864000</f>
        <v>0.0011238425925925925</v>
      </c>
      <c r="Z33" s="1">
        <f>7261/864000</f>
        <v>0.008403935185185184</v>
      </c>
      <c r="AA33" s="1">
        <f>6040/864000</f>
        <v>0.006990740740740741</v>
      </c>
      <c r="AB33" s="1">
        <f>1103/864000</f>
        <v>0.0012766203703703705</v>
      </c>
      <c r="AC33" s="1">
        <f>2820/864000</f>
        <v>0.003263888888888889</v>
      </c>
      <c r="AD33" s="1">
        <f>2403/864000</f>
        <v>0.00278125</v>
      </c>
      <c r="AF33" s="1">
        <f>1074/864000</f>
        <v>0.0012430555555555556</v>
      </c>
      <c r="AG33" s="1">
        <f>2742/864000</f>
        <v>0.003173611111111111</v>
      </c>
      <c r="AH33" s="1">
        <f>2308/864000</f>
        <v>0.002671296296296296</v>
      </c>
    </row>
    <row r="34" spans="1:34" ht="14.25">
      <c r="A34" s="5">
        <v>30</v>
      </c>
      <c r="D34" s="6" t="s">
        <v>7</v>
      </c>
      <c r="F34" s="6" t="s">
        <v>7</v>
      </c>
      <c r="I34" s="6">
        <f>VLOOKUP(A34,'[1]Entry'!$B$2:$BV$54,73,FALSE)</f>
        <v>4</v>
      </c>
      <c r="J34" t="s">
        <v>134</v>
      </c>
      <c r="K34" t="s">
        <v>135</v>
      </c>
      <c r="L34" t="s">
        <v>136</v>
      </c>
      <c r="M34" t="s">
        <v>137</v>
      </c>
      <c r="N34" t="s">
        <v>18</v>
      </c>
      <c r="O34" t="s">
        <v>44</v>
      </c>
      <c r="P34" s="1">
        <f>2800/864000</f>
        <v>0.0032407407407407406</v>
      </c>
      <c r="Q34" s="1">
        <f>3650/864000</f>
        <v>0.004224537037037037</v>
      </c>
      <c r="R34" s="1">
        <f>2845/864000</f>
        <v>0.003292824074074074</v>
      </c>
      <c r="S34" s="1">
        <f>3736/864000</f>
        <v>0.004324074074074074</v>
      </c>
      <c r="T34" s="1">
        <f>2451/864000</f>
        <v>0.0028368055555555555</v>
      </c>
      <c r="U34" s="1">
        <f>11927/864000</f>
        <v>0.013804398148148149</v>
      </c>
      <c r="V34" s="1">
        <f>2188/864000</f>
        <v>0.0025324074074074073</v>
      </c>
      <c r="W34" s="1">
        <f>10868/864000</f>
        <v>0.012578703703703703</v>
      </c>
      <c r="X34" s="1">
        <f>928/864000</f>
        <v>0.001074074074074074</v>
      </c>
      <c r="Y34" s="1">
        <f>941/864000</f>
        <v>0.0010891203703703703</v>
      </c>
      <c r="Z34" s="1">
        <f>6891/864000</f>
        <v>0.007975694444444445</v>
      </c>
      <c r="AA34" s="1">
        <f>5772/864000</f>
        <v>0.006680555555555556</v>
      </c>
      <c r="AB34" s="1">
        <f>1134/864000</f>
        <v>0.0013125</v>
      </c>
      <c r="AC34" s="1">
        <f>2823/864000</f>
        <v>0.003267361111111111</v>
      </c>
      <c r="AD34" s="1">
        <f>2451/864000</f>
        <v>0.0028368055555555555</v>
      </c>
      <c r="AF34" s="1">
        <f>1130/864000</f>
        <v>0.0013078703703703703</v>
      </c>
      <c r="AG34" s="1">
        <f>2766/864000</f>
        <v>0.003201388888888889</v>
      </c>
      <c r="AH34" s="1">
        <f>2425/864000</f>
        <v>0.002806712962962963</v>
      </c>
    </row>
    <row r="35" spans="1:34" ht="14.25">
      <c r="A35" s="5">
        <v>31</v>
      </c>
      <c r="D35" s="6" t="s">
        <v>7</v>
      </c>
      <c r="F35" s="6" t="s">
        <v>7</v>
      </c>
      <c r="I35" s="6">
        <f>VLOOKUP(A35,'[1]Entry'!$B$2:$BV$54,73,FALSE)</f>
        <v>4</v>
      </c>
      <c r="J35" t="s">
        <v>138</v>
      </c>
      <c r="K35" t="s">
        <v>139</v>
      </c>
      <c r="L35" t="s">
        <v>140</v>
      </c>
      <c r="M35" t="s">
        <v>141</v>
      </c>
      <c r="N35" t="s">
        <v>18</v>
      </c>
      <c r="O35" t="s">
        <v>44</v>
      </c>
      <c r="X35" s="1">
        <f>991/864000</f>
        <v>0.0011469907407407407</v>
      </c>
      <c r="Y35" s="1">
        <f>1004/864000</f>
        <v>0.001162037037037037</v>
      </c>
      <c r="Z35" s="1">
        <f>7185/864000</f>
        <v>0.008315972222222223</v>
      </c>
      <c r="AA35" s="1">
        <f>5913/864000</f>
        <v>0.00684375</v>
      </c>
      <c r="AB35" s="1">
        <f>1111/864000</f>
        <v>0.0012858796296296297</v>
      </c>
      <c r="AC35" s="1">
        <f>2802/864000</f>
        <v>0.0032430555555555554</v>
      </c>
      <c r="AD35" s="1">
        <f>2365/864000</f>
        <v>0.0027372685185185187</v>
      </c>
      <c r="AF35" s="1">
        <f>1096/864000</f>
        <v>0.0012685185185185184</v>
      </c>
      <c r="AG35" s="1">
        <f>2740/864000</f>
        <v>0.003171296296296296</v>
      </c>
      <c r="AH35" s="1">
        <f>2305/864000</f>
        <v>0.002667824074074074</v>
      </c>
    </row>
    <row r="36" spans="1:34" ht="14.25">
      <c r="A36" s="5">
        <v>32</v>
      </c>
      <c r="D36" s="6" t="s">
        <v>7</v>
      </c>
      <c r="F36" s="6" t="s">
        <v>7</v>
      </c>
      <c r="I36" s="6">
        <f>VLOOKUP(A36,'[1]Entry'!$B$2:$BV$54,73,FALSE)</f>
        <v>4</v>
      </c>
      <c r="J36" t="s">
        <v>142</v>
      </c>
      <c r="K36" t="s">
        <v>131</v>
      </c>
      <c r="L36" t="s">
        <v>143</v>
      </c>
      <c r="M36" t="s">
        <v>144</v>
      </c>
      <c r="N36" t="s">
        <v>18</v>
      </c>
      <c r="O36" t="s">
        <v>44</v>
      </c>
      <c r="P36" s="1">
        <f>3110/864000</f>
        <v>0.003599537037037037</v>
      </c>
      <c r="Q36" s="1">
        <f>3734/864000</f>
        <v>0.0043217592592592596</v>
      </c>
      <c r="R36" s="1">
        <f>2837/864000</f>
        <v>0.0032835648148148147</v>
      </c>
      <c r="S36" s="1">
        <f>3700/864000</f>
        <v>0.0042824074074074075</v>
      </c>
      <c r="T36" s="1">
        <f>2192/864000</f>
        <v>0.002537037037037037</v>
      </c>
      <c r="U36" s="1">
        <f>11053/864000</f>
        <v>0.012792824074074075</v>
      </c>
      <c r="V36" s="1">
        <f>2148/864000</f>
        <v>0.0024861111111111112</v>
      </c>
      <c r="W36" s="1">
        <f>10688/864000</f>
        <v>0.01237037037037037</v>
      </c>
      <c r="X36" s="1">
        <f>1060/864000</f>
        <v>0.0012268518518518518</v>
      </c>
      <c r="Y36" s="1">
        <f>1085/864000</f>
        <v>0.001255787037037037</v>
      </c>
      <c r="Z36" s="1">
        <f>7819/864000</f>
        <v>0.009049768518518518</v>
      </c>
      <c r="AA36" s="1">
        <f>6396/864000</f>
        <v>0.007402777777777778</v>
      </c>
      <c r="AB36" s="1">
        <f>1137/864000</f>
        <v>0.0013159722222222223</v>
      </c>
      <c r="AC36" s="1">
        <f>2768/864000</f>
        <v>0.003203703703703704</v>
      </c>
      <c r="AD36" s="1">
        <f>3413/864000</f>
        <v>0.003950231481481482</v>
      </c>
      <c r="AF36" s="1">
        <f>1123/864000</f>
        <v>0.0012997685185185185</v>
      </c>
      <c r="AG36" s="1">
        <f>2798/864000</f>
        <v>0.003238425925925926</v>
      </c>
      <c r="AH36" s="1">
        <f>2406/864000</f>
        <v>0.0027847222222222223</v>
      </c>
    </row>
    <row r="37" spans="1:34" ht="14.25">
      <c r="A37" s="5">
        <v>33</v>
      </c>
      <c r="D37" s="6" t="s">
        <v>7</v>
      </c>
      <c r="F37" s="6" t="s">
        <v>7</v>
      </c>
      <c r="I37" s="6">
        <f>VLOOKUP(A37,'[1]Entry'!$B$2:$BV$54,73,FALSE)</f>
        <v>4</v>
      </c>
      <c r="J37" t="s">
        <v>145</v>
      </c>
      <c r="K37" t="s">
        <v>146</v>
      </c>
      <c r="L37" t="s">
        <v>147</v>
      </c>
      <c r="M37" t="s">
        <v>148</v>
      </c>
      <c r="N37" t="s">
        <v>18</v>
      </c>
      <c r="O37" t="s">
        <v>149</v>
      </c>
      <c r="P37" s="1">
        <f>2788/864000</f>
        <v>0.003226851851851852</v>
      </c>
      <c r="Q37" s="1">
        <f>3596/864000</f>
        <v>0.004162037037037037</v>
      </c>
      <c r="R37" s="1">
        <f>2648/864000</f>
        <v>0.003064814814814815</v>
      </c>
      <c r="S37" s="1">
        <f>3563/864000</f>
        <v>0.004123842592592593</v>
      </c>
      <c r="T37" s="1">
        <f>2162/864000</f>
        <v>0.002502314814814815</v>
      </c>
      <c r="U37" s="1">
        <f>11190/864000</f>
        <v>0.012951388888888889</v>
      </c>
      <c r="V37" s="1">
        <f>2146/864000</f>
        <v>0.0024837962962962964</v>
      </c>
      <c r="W37" s="1">
        <f>10511/864000</f>
        <v>0.01216550925925926</v>
      </c>
      <c r="X37" s="1">
        <f>950/864000</f>
        <v>0.001099537037037037</v>
      </c>
      <c r="Y37" s="1">
        <f>944/864000</f>
        <v>0.0010925925925925925</v>
      </c>
      <c r="Z37" s="1">
        <f>7109/864000</f>
        <v>0.00822800925925926</v>
      </c>
      <c r="AA37" s="1">
        <f>6347/864000</f>
        <v>0.007346064814814815</v>
      </c>
      <c r="AB37" s="1">
        <f>1188/864000</f>
        <v>0.001375</v>
      </c>
      <c r="AC37" s="1">
        <f>2805/864000</f>
        <v>0.003246527777777778</v>
      </c>
      <c r="AD37" s="1">
        <f>2485/864000</f>
        <v>0.0028761574074074076</v>
      </c>
      <c r="AF37" s="1">
        <f>1146/864000</f>
        <v>0.0013263888888888889</v>
      </c>
      <c r="AG37" s="1">
        <f>2764/864000</f>
        <v>0.0031990740740740742</v>
      </c>
      <c r="AH37" s="1">
        <f>2405/864000</f>
        <v>0.0027835648148148147</v>
      </c>
    </row>
    <row r="38" spans="1:34" ht="14.25">
      <c r="A38" s="5">
        <v>34</v>
      </c>
      <c r="D38" s="6" t="s">
        <v>7</v>
      </c>
      <c r="F38" s="6" t="s">
        <v>7</v>
      </c>
      <c r="I38" s="6">
        <f>VLOOKUP(A38,'[1]Entry'!$B$2:$BV$54,73,FALSE)</f>
        <v>4</v>
      </c>
      <c r="J38" t="s">
        <v>150</v>
      </c>
      <c r="K38" t="s">
        <v>151</v>
      </c>
      <c r="L38" t="s">
        <v>152</v>
      </c>
      <c r="M38" t="s">
        <v>66</v>
      </c>
      <c r="N38" t="s">
        <v>18</v>
      </c>
      <c r="O38" t="s">
        <v>44</v>
      </c>
      <c r="P38" s="1">
        <f>3162/864000</f>
        <v>0.003659722222222222</v>
      </c>
      <c r="Q38" s="1">
        <f>4102/864000</f>
        <v>0.0047476851851851855</v>
      </c>
      <c r="R38" s="1">
        <f>3222/864000</f>
        <v>0.0037291666666666667</v>
      </c>
      <c r="S38" s="1">
        <f>4268/864000</f>
        <v>0.004939814814814814</v>
      </c>
      <c r="T38" s="1">
        <f>2536/864000</f>
        <v>0.002935185185185185</v>
      </c>
      <c r="U38" s="1">
        <f>12182/864000</f>
        <v>0.014099537037037037</v>
      </c>
      <c r="V38" s="1">
        <f>2493/864000</f>
        <v>0.0028854166666666668</v>
      </c>
      <c r="W38" s="1">
        <f>12227/864000</f>
        <v>0.01415162037037037</v>
      </c>
      <c r="X38" s="1">
        <f>1098/864000</f>
        <v>0.0012708333333333332</v>
      </c>
      <c r="Y38" s="1">
        <f>1045/864000</f>
        <v>0.0012094907407407408</v>
      </c>
      <c r="Z38" s="1">
        <f>8562/864000</f>
        <v>0.009909722222222223</v>
      </c>
      <c r="AA38" s="1">
        <f>7620/864000</f>
        <v>0.008819444444444444</v>
      </c>
      <c r="AB38" s="1">
        <f>1246/864000</f>
        <v>0.0014421296296296296</v>
      </c>
      <c r="AC38" s="1">
        <f>3070/864000</f>
        <v>0.003553240740740741</v>
      </c>
      <c r="AD38" s="1">
        <f>2717/864000</f>
        <v>0.0031446759259259258</v>
      </c>
      <c r="AF38" s="1">
        <f>1235/864000</f>
        <v>0.0014293981481481482</v>
      </c>
      <c r="AG38" s="1">
        <f>3042/864000</f>
        <v>0.0035208333333333333</v>
      </c>
      <c r="AH38" s="1">
        <f>2721/864000</f>
        <v>0.0031493055555555554</v>
      </c>
    </row>
    <row r="39" spans="1:34" ht="14.25">
      <c r="A39" s="5">
        <v>35</v>
      </c>
      <c r="D39" s="6" t="s">
        <v>7</v>
      </c>
      <c r="I39" s="6">
        <f>VLOOKUP(A39,'[1]Entry'!$B$2:$BV$54,73,FALSE)</f>
        <v>2</v>
      </c>
      <c r="J39" t="s">
        <v>153</v>
      </c>
      <c r="K39" t="s">
        <v>154</v>
      </c>
      <c r="L39" t="s">
        <v>155</v>
      </c>
      <c r="M39" t="s">
        <v>156</v>
      </c>
      <c r="N39" t="s">
        <v>157</v>
      </c>
      <c r="O39" t="s">
        <v>158</v>
      </c>
      <c r="P39" s="2">
        <f>3652/864000</f>
        <v>0.004226851851851851</v>
      </c>
      <c r="Q39" s="2">
        <f>4815/864000</f>
        <v>0.005572916666666667</v>
      </c>
      <c r="R39" s="1">
        <f>3113/864000</f>
        <v>0.0036030092592592594</v>
      </c>
      <c r="S39" s="1">
        <f>3963/864000</f>
        <v>0.004586805555555556</v>
      </c>
      <c r="T39" s="1">
        <f>2394/864000</f>
        <v>0.0027708333333333335</v>
      </c>
      <c r="U39" s="1">
        <f>11704/864000</f>
        <v>0.013546296296296296</v>
      </c>
      <c r="V39" s="1">
        <f>2422/864000</f>
        <v>0.0028032407407407407</v>
      </c>
      <c r="W39" s="1">
        <f>11617/864000</f>
        <v>0.013445601851851853</v>
      </c>
      <c r="X39" s="1">
        <f>1057/864000</f>
        <v>0.0012233796296296296</v>
      </c>
      <c r="Y39" s="1">
        <f>1070/864000</f>
        <v>0.001238425925925926</v>
      </c>
      <c r="Z39" s="1">
        <f>7749/864000</f>
        <v>0.00896875</v>
      </c>
      <c r="AA39" s="1">
        <f>7098/864000</f>
        <v>0.008215277777777778</v>
      </c>
      <c r="AB39" s="1">
        <f>1225/864000</f>
        <v>0.0014178240740740742</v>
      </c>
      <c r="AC39" s="1">
        <f>2983/864000</f>
        <v>0.0034525462962962964</v>
      </c>
      <c r="AD39" s="1">
        <f>2588/864000</f>
        <v>0.0029953703703703705</v>
      </c>
      <c r="AF39" s="1">
        <f>1219/864000</f>
        <v>0.0014108796296296295</v>
      </c>
      <c r="AG39" s="1">
        <f>2924/864000</f>
        <v>0.003384259259259259</v>
      </c>
      <c r="AH39" s="1">
        <f>2532/864000</f>
        <v>0.0029305555555555556</v>
      </c>
    </row>
    <row r="40" spans="1:25" ht="14.25">
      <c r="A40" s="5">
        <v>36</v>
      </c>
      <c r="D40" s="6" t="s">
        <v>7</v>
      </c>
      <c r="I40" s="6">
        <f>VLOOKUP(A40,'[1]Entry'!$B$2:$BV$54,73,FALSE)</f>
        <v>2</v>
      </c>
      <c r="J40" t="s">
        <v>159</v>
      </c>
      <c r="K40" t="s">
        <v>84</v>
      </c>
      <c r="L40" t="s">
        <v>160</v>
      </c>
      <c r="M40" t="s">
        <v>161</v>
      </c>
      <c r="N40" t="s">
        <v>38</v>
      </c>
      <c r="O40" t="s">
        <v>58</v>
      </c>
      <c r="P40" s="1">
        <f>3200/864000</f>
        <v>0.003703703703703704</v>
      </c>
      <c r="Q40" s="1">
        <f>3973/864000</f>
        <v>0.004598379629629629</v>
      </c>
      <c r="R40" s="1">
        <f>5664/864000</f>
        <v>0.006555555555555556</v>
      </c>
      <c r="S40" s="1">
        <f>4083/864000</f>
        <v>0.004725694444444445</v>
      </c>
      <c r="T40" s="1">
        <f>2508/864000</f>
        <v>0.0029027777777777776</v>
      </c>
      <c r="U40" s="1">
        <f>12238/864000</f>
        <v>0.014164351851851852</v>
      </c>
      <c r="V40" s="1">
        <f>2444/864000</f>
        <v>0.0028287037037037035</v>
      </c>
      <c r="W40" s="1">
        <f>11891/864000</f>
        <v>0.013762731481481482</v>
      </c>
      <c r="X40" s="2">
        <f>1398/864000</f>
        <v>0.0016180555555555555</v>
      </c>
      <c r="Y40" s="2">
        <f>1385/864000</f>
        <v>0.0016030092592592593</v>
      </c>
    </row>
    <row r="41" spans="1:34" ht="14.25">
      <c r="A41" s="5">
        <v>37</v>
      </c>
      <c r="D41" s="6" t="s">
        <v>7</v>
      </c>
      <c r="F41" s="6" t="s">
        <v>7</v>
      </c>
      <c r="I41" s="6">
        <f>VLOOKUP(A41,'[1]Entry'!$B$2:$BV$54,73,FALSE)</f>
        <v>2</v>
      </c>
      <c r="J41" t="s">
        <v>162</v>
      </c>
      <c r="K41" t="s">
        <v>163</v>
      </c>
      <c r="L41" t="s">
        <v>164</v>
      </c>
      <c r="M41" t="s">
        <v>165</v>
      </c>
      <c r="N41" t="s">
        <v>96</v>
      </c>
      <c r="O41" t="s">
        <v>166</v>
      </c>
      <c r="P41" s="1">
        <f>3107/864000</f>
        <v>0.003596064814814815</v>
      </c>
      <c r="Q41" s="1">
        <f>4018/864000</f>
        <v>0.004650462962962963</v>
      </c>
      <c r="R41" s="1">
        <f>3007/864000</f>
        <v>0.003480324074074074</v>
      </c>
      <c r="S41" s="1">
        <f>3912/864000</f>
        <v>0.004527777777777778</v>
      </c>
      <c r="T41" s="1">
        <f>2459/864000</f>
        <v>0.0028460648148148147</v>
      </c>
      <c r="U41" s="1">
        <f>12051/864000</f>
        <v>0.013947916666666667</v>
      </c>
      <c r="V41" s="1">
        <f>2385/864000</f>
        <v>0.0027604166666666667</v>
      </c>
      <c r="W41" s="1">
        <f>11883/864000</f>
        <v>0.013753472222222222</v>
      </c>
      <c r="X41" s="1">
        <f>1010/864000</f>
        <v>0.0011689814814814816</v>
      </c>
      <c r="Y41" s="1">
        <f>1004/864000</f>
        <v>0.001162037037037037</v>
      </c>
      <c r="Z41" s="1">
        <f>7682/864000</f>
        <v>0.008891203703703703</v>
      </c>
      <c r="AA41" s="1">
        <f>7115/864000</f>
        <v>0.008234953703703704</v>
      </c>
      <c r="AB41" s="1">
        <f>1255/864000</f>
        <v>0.0014525462962962964</v>
      </c>
      <c r="AC41" s="1">
        <f>2929/864000</f>
        <v>0.0033900462962962964</v>
      </c>
      <c r="AD41" s="1">
        <f>2672/864000</f>
        <v>0.0030925925925925925</v>
      </c>
      <c r="AF41" s="1">
        <f>1192/864000</f>
        <v>0.0013796296296296295</v>
      </c>
      <c r="AG41" s="1">
        <f>2899/864000</f>
        <v>0.003355324074074074</v>
      </c>
      <c r="AH41" s="1">
        <f>2593/864000</f>
        <v>0.0030011574074074072</v>
      </c>
    </row>
    <row r="42" spans="1:34" ht="14.25">
      <c r="A42" s="5">
        <v>38</v>
      </c>
      <c r="F42" s="6" t="s">
        <v>7</v>
      </c>
      <c r="G42" s="6" t="s">
        <v>7</v>
      </c>
      <c r="I42" s="6">
        <f>VLOOKUP(A42,'[1]Entry'!$B$2:$BV$54,73,FALSE)</f>
        <v>4</v>
      </c>
      <c r="J42" t="s">
        <v>8</v>
      </c>
      <c r="K42" t="s">
        <v>167</v>
      </c>
      <c r="L42" t="s">
        <v>8</v>
      </c>
      <c r="M42" t="s">
        <v>168</v>
      </c>
      <c r="N42" t="s">
        <v>18</v>
      </c>
      <c r="O42" t="s">
        <v>169</v>
      </c>
      <c r="Z42" s="1">
        <f>7781/864000</f>
        <v>0.009005787037037038</v>
      </c>
      <c r="AA42" s="1">
        <f>6671/864000</f>
        <v>0.007721064814814815</v>
      </c>
      <c r="AB42" s="1">
        <f>1180/864000</f>
        <v>0.0013657407407407407</v>
      </c>
      <c r="AC42" s="1">
        <f>2839/864000</f>
        <v>0.0032858796296296295</v>
      </c>
      <c r="AD42" s="1">
        <f>2557/864000</f>
        <v>0.002959490740740741</v>
      </c>
      <c r="AF42" s="1">
        <f>1185/864000</f>
        <v>0.0013715277777777777</v>
      </c>
      <c r="AG42" s="1">
        <f>2804/864000</f>
        <v>0.0032453703703703702</v>
      </c>
      <c r="AH42" s="1">
        <f>2485/864000</f>
        <v>0.0028761574074074076</v>
      </c>
    </row>
    <row r="43" spans="1:26" ht="14.25">
      <c r="A43" s="5">
        <v>39</v>
      </c>
      <c r="H43" s="6" t="s">
        <v>7</v>
      </c>
      <c r="I43" s="6">
        <f>VLOOKUP(A43,'[1]Entry'!$B$2:$BV$54,73,FALSE)</f>
        <v>2</v>
      </c>
      <c r="J43" t="s">
        <v>170</v>
      </c>
      <c r="K43" t="s">
        <v>26</v>
      </c>
      <c r="L43" t="s">
        <v>171</v>
      </c>
      <c r="M43" t="s">
        <v>172</v>
      </c>
      <c r="N43" t="s">
        <v>38</v>
      </c>
      <c r="O43" t="s">
        <v>173</v>
      </c>
      <c r="Z43" s="1">
        <f>1800/864000</f>
        <v>0.0020833333333333333</v>
      </c>
    </row>
    <row r="44" spans="1:29" ht="14.25">
      <c r="A44" s="5">
        <v>40</v>
      </c>
      <c r="H44" s="6" t="s">
        <v>7</v>
      </c>
      <c r="I44" s="6">
        <f>VLOOKUP(A44,'[1]Entry'!$B$2:$BV$54,73,FALSE)</f>
        <v>2</v>
      </c>
      <c r="J44" t="s">
        <v>174</v>
      </c>
      <c r="K44" t="s">
        <v>68</v>
      </c>
      <c r="L44" t="s">
        <v>174</v>
      </c>
      <c r="M44" t="s">
        <v>175</v>
      </c>
      <c r="N44" t="s">
        <v>38</v>
      </c>
      <c r="O44" t="s">
        <v>39</v>
      </c>
      <c r="Z44" s="1">
        <f>1800/864000</f>
        <v>0.0020833333333333333</v>
      </c>
      <c r="AA44" s="1">
        <f>1200/864000</f>
        <v>0.001388888888888889</v>
      </c>
      <c r="AB44" s="1">
        <f>600/864000</f>
        <v>0.0006944444444444445</v>
      </c>
      <c r="AC44" s="1">
        <f>600/864000</f>
        <v>0.0006944444444444445</v>
      </c>
    </row>
    <row r="45" spans="1:27" ht="14.25">
      <c r="A45" s="5">
        <v>41</v>
      </c>
      <c r="H45" s="6" t="s">
        <v>7</v>
      </c>
      <c r="I45" s="6">
        <f>VLOOKUP(A45,'[1]Entry'!$B$2:$BV$54,73,FALSE)</f>
        <v>2</v>
      </c>
      <c r="J45" t="s">
        <v>176</v>
      </c>
      <c r="K45" t="s">
        <v>62</v>
      </c>
      <c r="L45" t="s">
        <v>177</v>
      </c>
      <c r="M45" t="s">
        <v>178</v>
      </c>
      <c r="N45" t="s">
        <v>71</v>
      </c>
      <c r="O45" t="s">
        <v>179</v>
      </c>
      <c r="Z45" s="1">
        <f>4200/864000</f>
        <v>0.004861111111111111</v>
      </c>
      <c r="AA45" s="1">
        <f>2400/864000</f>
        <v>0.002777777777777778</v>
      </c>
    </row>
    <row r="46" spans="1:29" ht="14.25">
      <c r="A46" s="5">
        <v>42</v>
      </c>
      <c r="H46" s="6" t="s">
        <v>7</v>
      </c>
      <c r="I46" s="6">
        <f>VLOOKUP(A46,'[1]Entry'!$B$2:$BV$54,73,FALSE)</f>
        <v>2</v>
      </c>
      <c r="J46" t="s">
        <v>153</v>
      </c>
      <c r="K46" t="s">
        <v>180</v>
      </c>
      <c r="L46" t="s">
        <v>153</v>
      </c>
      <c r="M46" t="s">
        <v>181</v>
      </c>
      <c r="N46" t="s">
        <v>96</v>
      </c>
      <c r="O46" t="s">
        <v>182</v>
      </c>
      <c r="Z46" s="1">
        <f>3000/864000</f>
        <v>0.003472222222222222</v>
      </c>
      <c r="AA46" s="1">
        <f>1800/864000</f>
        <v>0.0020833333333333333</v>
      </c>
      <c r="AB46" s="1">
        <f aca="true" t="shared" si="0" ref="AB46:AC48">600/864000</f>
        <v>0.0006944444444444445</v>
      </c>
      <c r="AC46" s="1">
        <f t="shared" si="0"/>
        <v>0.0006944444444444445</v>
      </c>
    </row>
    <row r="47" spans="1:29" ht="14.25">
      <c r="A47" s="5">
        <v>43</v>
      </c>
      <c r="H47" s="6" t="s">
        <v>7</v>
      </c>
      <c r="I47" s="6">
        <f>VLOOKUP(A47,'[1]Entry'!$B$2:$BV$54,73,FALSE)</f>
        <v>2</v>
      </c>
      <c r="J47" t="s">
        <v>134</v>
      </c>
      <c r="K47" t="s">
        <v>48</v>
      </c>
      <c r="L47" t="s">
        <v>134</v>
      </c>
      <c r="M47" t="s">
        <v>183</v>
      </c>
      <c r="N47" t="s">
        <v>184</v>
      </c>
      <c r="O47" t="s">
        <v>185</v>
      </c>
      <c r="Z47" s="1">
        <f>4800/864000</f>
        <v>0.005555555555555556</v>
      </c>
      <c r="AA47" s="1">
        <f>1200/864000</f>
        <v>0.001388888888888889</v>
      </c>
      <c r="AB47" s="1">
        <f t="shared" si="0"/>
        <v>0.0006944444444444445</v>
      </c>
      <c r="AC47" s="1">
        <f t="shared" si="0"/>
        <v>0.0006944444444444445</v>
      </c>
    </row>
    <row r="48" spans="1:29" ht="14.25">
      <c r="A48" s="5">
        <v>44</v>
      </c>
      <c r="H48" s="6" t="s">
        <v>7</v>
      </c>
      <c r="I48" s="6">
        <f>VLOOKUP(A48,'[1]Entry'!$B$2:$BV$54,73,FALSE)</f>
        <v>2</v>
      </c>
      <c r="J48" t="s">
        <v>186</v>
      </c>
      <c r="K48" t="s">
        <v>187</v>
      </c>
      <c r="L48" t="s">
        <v>186</v>
      </c>
      <c r="M48" t="s">
        <v>22</v>
      </c>
      <c r="N48" t="s">
        <v>71</v>
      </c>
      <c r="O48" t="s">
        <v>188</v>
      </c>
      <c r="Z48" s="1">
        <f>2400/864000</f>
        <v>0.002777777777777778</v>
      </c>
      <c r="AA48" s="1">
        <f>600/864000</f>
        <v>0.0006944444444444445</v>
      </c>
      <c r="AB48" s="1">
        <f t="shared" si="0"/>
        <v>0.0006944444444444445</v>
      </c>
      <c r="AC48" s="1">
        <f t="shared" si="0"/>
        <v>0.0006944444444444445</v>
      </c>
    </row>
    <row r="49" spans="1:15" ht="14.25">
      <c r="A49" s="5">
        <v>48</v>
      </c>
      <c r="I49" s="6">
        <f>VLOOKUP(A49,'[1]Entry'!$B$2:$BV$54,73,FALSE)</f>
        <v>4</v>
      </c>
      <c r="J49" t="s">
        <v>189</v>
      </c>
      <c r="K49" t="s">
        <v>190</v>
      </c>
      <c r="L49" t="s">
        <v>189</v>
      </c>
      <c r="M49" t="s">
        <v>191</v>
      </c>
      <c r="N49" t="s">
        <v>18</v>
      </c>
      <c r="O49" t="s">
        <v>44</v>
      </c>
    </row>
    <row r="50" spans="1:15" ht="14.25">
      <c r="A50" s="5">
        <v>49</v>
      </c>
      <c r="I50" s="6">
        <f>VLOOKUP(A50,'[1]Entry'!$B$2:$BV$54,73,FALSE)</f>
        <v>2</v>
      </c>
      <c r="J50" t="s">
        <v>192</v>
      </c>
      <c r="K50" t="s">
        <v>193</v>
      </c>
      <c r="N50" t="s">
        <v>194</v>
      </c>
      <c r="O50" t="s">
        <v>195</v>
      </c>
    </row>
    <row r="51" spans="1:15" ht="14.25">
      <c r="A51" s="5">
        <v>50</v>
      </c>
      <c r="I51" s="6">
        <f>VLOOKUP(A51,'[1]Entry'!$B$2:$BV$54,73,FALSE)</f>
        <v>2</v>
      </c>
      <c r="J51" t="s">
        <v>196</v>
      </c>
      <c r="K51" t="s">
        <v>197</v>
      </c>
      <c r="L51" t="s">
        <v>198</v>
      </c>
      <c r="M51" t="s">
        <v>151</v>
      </c>
      <c r="N51" t="s">
        <v>12</v>
      </c>
      <c r="O51" t="s">
        <v>91</v>
      </c>
    </row>
    <row r="52" spans="1:15" ht="14.25">
      <c r="A52" s="5">
        <v>51</v>
      </c>
      <c r="I52" s="6">
        <f>VLOOKUP(A52,'[1]Entry'!$B$2:$BV$54,73,FALSE)</f>
        <v>2</v>
      </c>
      <c r="J52" t="s">
        <v>199</v>
      </c>
      <c r="K52" t="s">
        <v>191</v>
      </c>
      <c r="L52" t="s">
        <v>200</v>
      </c>
      <c r="M52" t="s">
        <v>200</v>
      </c>
      <c r="N52" t="s">
        <v>201</v>
      </c>
      <c r="O52" t="s">
        <v>202</v>
      </c>
    </row>
    <row r="53" spans="1:15" ht="14.25">
      <c r="A53" s="5">
        <v>52</v>
      </c>
      <c r="I53" s="6">
        <f>VLOOKUP(A53,'[1]Entry'!$B$2:$BV$54,73,FALSE)</f>
        <v>4</v>
      </c>
      <c r="J53" t="s">
        <v>189</v>
      </c>
      <c r="K53" t="s">
        <v>191</v>
      </c>
      <c r="L53" t="s">
        <v>189</v>
      </c>
      <c r="M53" t="s">
        <v>190</v>
      </c>
      <c r="N53" t="s">
        <v>18</v>
      </c>
      <c r="O53" t="s">
        <v>44</v>
      </c>
    </row>
    <row r="54" spans="1:15" ht="14.25">
      <c r="A54" s="5">
        <v>53</v>
      </c>
      <c r="I54" s="6">
        <f>VLOOKUP(A54,'[1]Entry'!$B$2:$BV$54,73,FALSE)</f>
        <v>2</v>
      </c>
      <c r="J54" t="s">
        <v>203</v>
      </c>
      <c r="K54" t="s">
        <v>172</v>
      </c>
      <c r="L54" t="s">
        <v>198</v>
      </c>
      <c r="M54" t="s">
        <v>151</v>
      </c>
      <c r="N54" t="s">
        <v>12</v>
      </c>
      <c r="O54" t="s">
        <v>91</v>
      </c>
    </row>
    <row r="55" spans="1:35" ht="14.25">
      <c r="A55" s="5">
        <v>95</v>
      </c>
      <c r="B55" s="6" t="s">
        <v>7</v>
      </c>
      <c r="C55" s="6" t="s">
        <v>7</v>
      </c>
      <c r="F55" s="6" t="s">
        <v>7</v>
      </c>
      <c r="I55" s="6">
        <f>VLOOKUP(A55,'[1]Entry'!$B$2:$BV$54,73,FALSE)</f>
        <v>2</v>
      </c>
      <c r="J55" t="s">
        <v>204</v>
      </c>
      <c r="K55" t="s">
        <v>205</v>
      </c>
      <c r="L55" t="s">
        <v>206</v>
      </c>
      <c r="M55" t="s">
        <v>207</v>
      </c>
      <c r="N55" t="s">
        <v>96</v>
      </c>
      <c r="O55" t="s">
        <v>208</v>
      </c>
      <c r="P55" s="1">
        <f>2850/864000</f>
        <v>0.003298611111111111</v>
      </c>
      <c r="Q55" s="1">
        <f>3719/864000</f>
        <v>0.004304398148148148</v>
      </c>
      <c r="R55" s="1">
        <f>2827/864000</f>
        <v>0.0032719907407407407</v>
      </c>
      <c r="S55" s="1">
        <f>3756/864000</f>
        <v>0.004347222222222222</v>
      </c>
      <c r="T55" s="1">
        <f>2317/864000</f>
        <v>0.002681712962962963</v>
      </c>
      <c r="U55" s="1">
        <f>11236/864000</f>
        <v>0.01300462962962963</v>
      </c>
      <c r="V55" s="1">
        <f>2181/864000</f>
        <v>0.0025243055555555557</v>
      </c>
      <c r="W55" s="1">
        <f>11170/864000</f>
        <v>0.01292824074074074</v>
      </c>
      <c r="X55" s="1">
        <f>1019/864000</f>
        <v>0.0011793981481481482</v>
      </c>
      <c r="Y55" s="1">
        <f>992/864000</f>
        <v>0.0011481481481481481</v>
      </c>
      <c r="Z55" s="1">
        <f>7532/864000</f>
        <v>0.008717592592592593</v>
      </c>
      <c r="AA55" s="1">
        <f>6255/864000</f>
        <v>0.007239583333333333</v>
      </c>
      <c r="AB55" s="1">
        <f>1183/864000</f>
        <v>0.001369212962962963</v>
      </c>
      <c r="AC55" s="1">
        <f>2848/864000</f>
        <v>0.0032962962962962963</v>
      </c>
      <c r="AD55" s="1">
        <f>2540/864000</f>
        <v>0.002939814814814815</v>
      </c>
      <c r="AF55" s="1">
        <f>1146/864000</f>
        <v>0.0013263888888888889</v>
      </c>
      <c r="AG55" s="1">
        <f>2836/864000</f>
        <v>0.0032824074074074075</v>
      </c>
      <c r="AH55" s="1">
        <f>2516/864000</f>
        <v>0.002912037037037037</v>
      </c>
      <c r="AI55" s="1">
        <f>7176/864000</f>
        <v>0.008305555555555556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Garry Searle</cp:lastModifiedBy>
  <dcterms:created xsi:type="dcterms:W3CDTF">2019-09-22T09:40:58Z</dcterms:created>
  <dcterms:modified xsi:type="dcterms:W3CDTF">2019-09-22T09:51:00Z</dcterms:modified>
  <cp:category/>
  <cp:version/>
  <cp:contentType/>
  <cp:contentStatus/>
</cp:coreProperties>
</file>