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10" activeTab="0"/>
  </bookViews>
  <sheets>
    <sheet name="StageTimes_N3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<sst xmlns="http://schemas.openxmlformats.org/spreadsheetml/2006/main" count="400" uniqueCount="237">
  <si>
    <t>CarNo</t>
  </si>
  <si>
    <t>Driver</t>
  </si>
  <si>
    <t>CoDriver</t>
  </si>
  <si>
    <t>Make</t>
  </si>
  <si>
    <t>Model</t>
  </si>
  <si>
    <t>Nissan</t>
  </si>
  <si>
    <t>Ford</t>
  </si>
  <si>
    <t>Mitsubishi</t>
  </si>
  <si>
    <t>Subaru</t>
  </si>
  <si>
    <t>Toyota</t>
  </si>
  <si>
    <t>Holden</t>
  </si>
  <si>
    <t>Datsun</t>
  </si>
  <si>
    <t>ARC</t>
  </si>
  <si>
    <t>Y</t>
  </si>
  <si>
    <t>Missed Stages</t>
  </si>
  <si>
    <t>Allocated Time</t>
  </si>
  <si>
    <t>SS1</t>
  </si>
  <si>
    <t>SS2</t>
  </si>
  <si>
    <t>SS3</t>
  </si>
  <si>
    <t>SS4</t>
  </si>
  <si>
    <t>SS5</t>
  </si>
  <si>
    <t>SS6</t>
  </si>
  <si>
    <t>SS7</t>
  </si>
  <si>
    <t>SS8</t>
  </si>
  <si>
    <t>SS9</t>
  </si>
  <si>
    <t>SS10</t>
  </si>
  <si>
    <t>SS11</t>
  </si>
  <si>
    <t>SS12</t>
  </si>
  <si>
    <t>SS13</t>
  </si>
  <si>
    <t>SS14</t>
  </si>
  <si>
    <t>SS15</t>
  </si>
  <si>
    <t>SS16</t>
  </si>
  <si>
    <t>BATES</t>
  </si>
  <si>
    <t>TAYLOR</t>
  </si>
  <si>
    <t>Stanza</t>
  </si>
  <si>
    <t>David</t>
  </si>
  <si>
    <t>EVANS</t>
  </si>
  <si>
    <t>Peugeot</t>
  </si>
  <si>
    <t>Molly</t>
  </si>
  <si>
    <t>HAYES</t>
  </si>
  <si>
    <t>Tony</t>
  </si>
  <si>
    <t>Harry</t>
  </si>
  <si>
    <t>John</t>
  </si>
  <si>
    <t>Andrew</t>
  </si>
  <si>
    <t>PENNY</t>
  </si>
  <si>
    <t>Kirra</t>
  </si>
  <si>
    <t>Michael</t>
  </si>
  <si>
    <t>Paul</t>
  </si>
  <si>
    <t>Peter</t>
  </si>
  <si>
    <t>Stephen</t>
  </si>
  <si>
    <t>Honda</t>
  </si>
  <si>
    <t>Tom</t>
  </si>
  <si>
    <t>Ben</t>
  </si>
  <si>
    <t>Ross</t>
  </si>
  <si>
    <t>Simon</t>
  </si>
  <si>
    <t>SEARCY</t>
  </si>
  <si>
    <t>FEAVER</t>
  </si>
  <si>
    <t>Toni</t>
  </si>
  <si>
    <t>Hyundai</t>
  </si>
  <si>
    <t>MARKOVIC</t>
  </si>
  <si>
    <t>Brad</t>
  </si>
  <si>
    <t>O'DOWD</t>
  </si>
  <si>
    <t>Fiesta</t>
  </si>
  <si>
    <t>Warren</t>
  </si>
  <si>
    <t>Craig</t>
  </si>
  <si>
    <t>MARTIN</t>
  </si>
  <si>
    <t>Richard</t>
  </si>
  <si>
    <t>Anthony</t>
  </si>
  <si>
    <t>Graham</t>
  </si>
  <si>
    <t>SHEIL</t>
  </si>
  <si>
    <t>Mitch</t>
  </si>
  <si>
    <t>Excel</t>
  </si>
  <si>
    <t>Jason</t>
  </si>
  <si>
    <t>Corolla</t>
  </si>
  <si>
    <t>Impreza WRX Sti</t>
  </si>
  <si>
    <t>Eli</t>
  </si>
  <si>
    <t>Glen</t>
  </si>
  <si>
    <t>Scott</t>
  </si>
  <si>
    <t>Lancer Evo IX</t>
  </si>
  <si>
    <t>McCARTHY</t>
  </si>
  <si>
    <t>GLENNEY</t>
  </si>
  <si>
    <t>Steve</t>
  </si>
  <si>
    <t>Ken</t>
  </si>
  <si>
    <t>STEWART</t>
  </si>
  <si>
    <t>Wayne</t>
  </si>
  <si>
    <t>PRENDERGAST</t>
  </si>
  <si>
    <t>Impreza WRX</t>
  </si>
  <si>
    <t>Adam</t>
  </si>
  <si>
    <t>WALKER</t>
  </si>
  <si>
    <t>Grant</t>
  </si>
  <si>
    <t>RICHARDS</t>
  </si>
  <si>
    <t>Steph</t>
  </si>
  <si>
    <t>Escort RS1800</t>
  </si>
  <si>
    <t>KAPLAN</t>
  </si>
  <si>
    <t>PENNEY</t>
  </si>
  <si>
    <t>Aleshia</t>
  </si>
  <si>
    <t>Mazda</t>
  </si>
  <si>
    <t>RX7</t>
  </si>
  <si>
    <t>Lewis</t>
  </si>
  <si>
    <t>Brendan</t>
  </si>
  <si>
    <t>LEE</t>
  </si>
  <si>
    <t>LETHLEAN</t>
  </si>
  <si>
    <t>Evolution IX</t>
  </si>
  <si>
    <t>RAYMOND</t>
  </si>
  <si>
    <t>CATFORD</t>
  </si>
  <si>
    <t>Kate</t>
  </si>
  <si>
    <t>Catherine</t>
  </si>
  <si>
    <t>Aaron</t>
  </si>
  <si>
    <t>LENNANE</t>
  </si>
  <si>
    <t>RAMIA</t>
  </si>
  <si>
    <t>Amanda</t>
  </si>
  <si>
    <t>Proton</t>
  </si>
  <si>
    <t>Satria 2000</t>
  </si>
  <si>
    <t>DOUGHERTY</t>
  </si>
  <si>
    <t>Annie</t>
  </si>
  <si>
    <t>NEWTON</t>
  </si>
  <si>
    <t>Brian</t>
  </si>
  <si>
    <t>PRICE</t>
  </si>
  <si>
    <t>Ryan</t>
  </si>
  <si>
    <t>Civic EG6</t>
  </si>
  <si>
    <t>THOMAS</t>
  </si>
  <si>
    <t>Phil</t>
  </si>
  <si>
    <t>RADNELL</t>
  </si>
  <si>
    <t>Escort MKII</t>
  </si>
  <si>
    <t>STAPLETON</t>
  </si>
  <si>
    <t>ELLIS</t>
  </si>
  <si>
    <t>200 SX</t>
  </si>
  <si>
    <t>TILL</t>
  </si>
  <si>
    <t>GARRAD</t>
  </si>
  <si>
    <t>Ian</t>
  </si>
  <si>
    <t>TURNER</t>
  </si>
  <si>
    <t>Kylie</t>
  </si>
  <si>
    <t>Impreza WRX RA</t>
  </si>
  <si>
    <t>GIACOMIN</t>
  </si>
  <si>
    <t>Luca</t>
  </si>
  <si>
    <t>WILLIAMS</t>
  </si>
  <si>
    <t>Brett</t>
  </si>
  <si>
    <t>NORTH</t>
  </si>
  <si>
    <t>Matt</t>
  </si>
  <si>
    <t>WALLIS</t>
  </si>
  <si>
    <t>LAWRANCE</t>
  </si>
  <si>
    <t>DAVISON</t>
  </si>
  <si>
    <t>Darren</t>
  </si>
  <si>
    <t>PERKINS</t>
  </si>
  <si>
    <t>Joel</t>
  </si>
  <si>
    <t>BRENNAN</t>
  </si>
  <si>
    <t>SWEENEY</t>
  </si>
  <si>
    <t>LAKE</t>
  </si>
  <si>
    <t>Donald</t>
  </si>
  <si>
    <t>STILES</t>
  </si>
  <si>
    <t>CRIBB</t>
  </si>
  <si>
    <t>Hayden</t>
  </si>
  <si>
    <t>HOOD</t>
  </si>
  <si>
    <t>ARC2</t>
  </si>
  <si>
    <t>VRC</t>
  </si>
  <si>
    <t>DRV</t>
  </si>
  <si>
    <t>Mini</t>
  </si>
  <si>
    <t>Cooper</t>
  </si>
  <si>
    <t>Yaris</t>
  </si>
  <si>
    <t>READ</t>
  </si>
  <si>
    <t>Malcolm</t>
  </si>
  <si>
    <t>COPPIN</t>
  </si>
  <si>
    <t>Adrian</t>
  </si>
  <si>
    <t>KELLY</t>
  </si>
  <si>
    <t>Erin</t>
  </si>
  <si>
    <t>POTTER</t>
  </si>
  <si>
    <t>BROWN</t>
  </si>
  <si>
    <t>Gary</t>
  </si>
  <si>
    <t>DALE</t>
  </si>
  <si>
    <t>Mike</t>
  </si>
  <si>
    <t>VR4 Galant</t>
  </si>
  <si>
    <t>MOSCATT</t>
  </si>
  <si>
    <t>Dale</t>
  </si>
  <si>
    <t>LLEWELLYN</t>
  </si>
  <si>
    <t>Rhys</t>
  </si>
  <si>
    <t>MORTON</t>
  </si>
  <si>
    <t>KITTLE</t>
  </si>
  <si>
    <t>VALE</t>
  </si>
  <si>
    <t>Caroline</t>
  </si>
  <si>
    <t>Lancer Evo X</t>
  </si>
  <si>
    <t>POHLNER</t>
  </si>
  <si>
    <t>Jamie</t>
  </si>
  <si>
    <t>MOORE</t>
  </si>
  <si>
    <t>BOWERING</t>
  </si>
  <si>
    <t>MILLARD</t>
  </si>
  <si>
    <t>Kevin</t>
  </si>
  <si>
    <t>ECCLES</t>
  </si>
  <si>
    <t>CLINNICK</t>
  </si>
  <si>
    <t>BRKIC</t>
  </si>
  <si>
    <t>Daniel</t>
  </si>
  <si>
    <t>HUTCHINS</t>
  </si>
  <si>
    <t>Troy</t>
  </si>
  <si>
    <t>Focus ST</t>
  </si>
  <si>
    <t>REGESTER</t>
  </si>
  <si>
    <t>Ivan</t>
  </si>
  <si>
    <t>HUMM</t>
  </si>
  <si>
    <t>RUESSMAN</t>
  </si>
  <si>
    <t>ZINSSTAG</t>
  </si>
  <si>
    <t>Licas</t>
  </si>
  <si>
    <t>McDONOUGH</t>
  </si>
  <si>
    <t>COLE</t>
  </si>
  <si>
    <t>Jenny</t>
  </si>
  <si>
    <t>Lancer Evo VI</t>
  </si>
  <si>
    <t>SNOOKS</t>
  </si>
  <si>
    <t>Darryn</t>
  </si>
  <si>
    <t>SEMMENS</t>
  </si>
  <si>
    <t>PARRY</t>
  </si>
  <si>
    <t>200SX RV S12</t>
  </si>
  <si>
    <t>WHITE</t>
  </si>
  <si>
    <t>HAHN</t>
  </si>
  <si>
    <t>Silvia</t>
  </si>
  <si>
    <t>JARVIE</t>
  </si>
  <si>
    <t>MIDDLETON</t>
  </si>
  <si>
    <t>Commodore</t>
  </si>
  <si>
    <t>KENDRICK</t>
  </si>
  <si>
    <t>Braeden</t>
  </si>
  <si>
    <t>PATTERSON</t>
  </si>
  <si>
    <t>Ari</t>
  </si>
  <si>
    <t>309 GTi16</t>
  </si>
  <si>
    <t>PAYNE</t>
  </si>
  <si>
    <t>Sean</t>
  </si>
  <si>
    <t>MEYER</t>
  </si>
  <si>
    <t>Rosemarie</t>
  </si>
  <si>
    <t>Jarryd-Indiana</t>
  </si>
  <si>
    <t>BOHM</t>
  </si>
  <si>
    <t>Josh</t>
  </si>
  <si>
    <t>STALTARI</t>
  </si>
  <si>
    <t>CHU</t>
  </si>
  <si>
    <t>Haowen</t>
  </si>
  <si>
    <t>MAO</t>
  </si>
  <si>
    <t>Xinan</t>
  </si>
  <si>
    <t>O'REILLY</t>
  </si>
  <si>
    <t>HILTON</t>
  </si>
  <si>
    <t>Greg</t>
  </si>
  <si>
    <t>Bluebird</t>
  </si>
  <si>
    <t>ARC 2WD</t>
  </si>
  <si>
    <t>SS13 Cancelled for all competitors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</si>
</sst>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8" fillId="12" borderId="10" xfId="0" applyFont="1" applyFill="1" applyBorder="1" applyAlignment="1">
      <alignment horizontal="center"/>
    </xf>
    <xf numFmtId="0" fontId="38" fillId="12" borderId="10" xfId="0" applyFont="1" applyFill="1" applyBorder="1" applyAlignment="1">
      <alignment horizontal="right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47" fontId="39" fillId="0" borderId="10" xfId="0" applyNumberFormat="1" applyFont="1" applyFill="1" applyBorder="1" applyAlignment="1">
      <alignment/>
    </xf>
    <xf numFmtId="47" fontId="39" fillId="33" borderId="10" xfId="0" applyNumberFormat="1" applyFont="1" applyFill="1" applyBorder="1" applyAlignment="1">
      <alignment/>
    </xf>
    <xf numFmtId="47" fontId="39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left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47" fontId="39" fillId="1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142875</xdr:rowOff>
    </xdr:from>
    <xdr:to>
      <xdr:col>12</xdr:col>
      <xdr:colOff>0</xdr:colOff>
      <xdr:row>3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3305175" y="142875"/>
          <a:ext cx="29051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Eureka Rally 2018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Stage Times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219075</xdr:colOff>
      <xdr:row>3</xdr:row>
      <xdr:rowOff>200025</xdr:rowOff>
    </xdr:to>
    <xdr:pic>
      <xdr:nvPicPr>
        <xdr:cNvPr id="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1144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371475</xdr:colOff>
      <xdr:row>0</xdr:row>
      <xdr:rowOff>123825</xdr:rowOff>
    </xdr:from>
    <xdr:to>
      <xdr:col>5</xdr:col>
      <xdr:colOff>504825</xdr:colOff>
      <xdr:row>2</xdr:row>
      <xdr:rowOff>200025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123825"/>
          <a:ext cx="1895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getime2018\ARC_Vic_2018%20prevent\DOCCS\Eureka%20Entry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kedown"/>
      <sheetName val="SH2"/>
      <sheetName val="VRC"/>
      <sheetName val=" Entry List Format"/>
      <sheetName val="Entry"/>
      <sheetName val="Start H1 SxS"/>
      <sheetName val="Start H2 SxS"/>
      <sheetName val="xSH1 (2)"/>
      <sheetName val="SL H1"/>
      <sheetName val="SL H2"/>
      <sheetName val="COC_ARC"/>
      <sheetName val="xSH1"/>
      <sheetName val="xEntry (2)"/>
      <sheetName val="Stage Start"/>
      <sheetName val="ARC EP"/>
      <sheetName val="ARC EP (2)"/>
      <sheetName val="Awards"/>
      <sheetName val="labels"/>
      <sheetName val="L1SMS"/>
      <sheetName val="4Wd"/>
      <sheetName val="2WD"/>
      <sheetName val="RAJC"/>
      <sheetName val="SARC"/>
      <sheetName val="SARC (2)"/>
      <sheetName val="SARC Classes"/>
      <sheetName val="StageWins"/>
      <sheetName val="Stage lengths"/>
      <sheetName val="Legend"/>
    </sheetNames>
    <sheetDataSet>
      <sheetData sheetId="4">
        <row r="2">
          <cell r="BS2">
            <v>2</v>
          </cell>
          <cell r="BU2">
            <v>1</v>
          </cell>
          <cell r="BV2">
            <v>4</v>
          </cell>
        </row>
        <row r="3">
          <cell r="BS3">
            <v>3</v>
          </cell>
          <cell r="BU3">
            <v>1</v>
          </cell>
          <cell r="BV3">
            <v>4</v>
          </cell>
        </row>
        <row r="4">
          <cell r="BS4">
            <v>4</v>
          </cell>
          <cell r="BU4">
            <v>1</v>
          </cell>
          <cell r="BV4">
            <v>4</v>
          </cell>
        </row>
        <row r="5">
          <cell r="BS5">
            <v>5</v>
          </cell>
          <cell r="BU5">
            <v>1</v>
          </cell>
          <cell r="BV5">
            <v>4</v>
          </cell>
        </row>
        <row r="6">
          <cell r="BS6">
            <v>6</v>
          </cell>
          <cell r="BU6">
            <v>1</v>
          </cell>
          <cell r="BV6">
            <v>4</v>
          </cell>
        </row>
        <row r="7">
          <cell r="BS7">
            <v>7</v>
          </cell>
          <cell r="BU7">
            <v>1</v>
          </cell>
          <cell r="BV7">
            <v>4</v>
          </cell>
        </row>
        <row r="8">
          <cell r="BS8">
            <v>8</v>
          </cell>
          <cell r="BU8">
            <v>1</v>
          </cell>
          <cell r="BV8">
            <v>4</v>
          </cell>
        </row>
        <row r="9">
          <cell r="BS9">
            <v>9</v>
          </cell>
          <cell r="BU9">
            <v>1</v>
          </cell>
          <cell r="BV9">
            <v>4</v>
          </cell>
        </row>
        <row r="10">
          <cell r="BS10">
            <v>10</v>
          </cell>
          <cell r="BU10">
            <v>1</v>
          </cell>
          <cell r="BV10">
            <v>4</v>
          </cell>
        </row>
        <row r="11">
          <cell r="BS11">
            <v>11</v>
          </cell>
          <cell r="BU11">
            <v>1</v>
          </cell>
          <cell r="BV11">
            <v>4</v>
          </cell>
        </row>
        <row r="12">
          <cell r="BS12">
            <v>12</v>
          </cell>
          <cell r="BU12">
            <v>1</v>
          </cell>
          <cell r="BV12">
            <v>4</v>
          </cell>
        </row>
        <row r="13">
          <cell r="BS13">
            <v>13</v>
          </cell>
          <cell r="BU13">
            <v>1</v>
          </cell>
          <cell r="BV13">
            <v>4</v>
          </cell>
        </row>
        <row r="14">
          <cell r="BS14">
            <v>14</v>
          </cell>
          <cell r="BU14">
            <v>1</v>
          </cell>
          <cell r="BV14">
            <v>4</v>
          </cell>
        </row>
        <row r="15">
          <cell r="BS15">
            <v>15</v>
          </cell>
          <cell r="BU15">
            <v>1</v>
          </cell>
          <cell r="BV15">
            <v>4</v>
          </cell>
        </row>
        <row r="16">
          <cell r="BS16">
            <v>16</v>
          </cell>
          <cell r="BT16">
            <v>1</v>
          </cell>
          <cell r="BV16">
            <v>2</v>
          </cell>
        </row>
        <row r="17">
          <cell r="BS17">
            <v>17</v>
          </cell>
          <cell r="BU17">
            <v>1</v>
          </cell>
          <cell r="BV17">
            <v>4</v>
          </cell>
        </row>
        <row r="18">
          <cell r="BS18">
            <v>18</v>
          </cell>
          <cell r="BU18">
            <v>1</v>
          </cell>
          <cell r="BV18">
            <v>4</v>
          </cell>
        </row>
        <row r="19">
          <cell r="BS19">
            <v>19</v>
          </cell>
          <cell r="BT19">
            <v>1</v>
          </cell>
          <cell r="BV19">
            <v>2</v>
          </cell>
        </row>
        <row r="20">
          <cell r="BS20">
            <v>20</v>
          </cell>
          <cell r="BT20">
            <v>1</v>
          </cell>
          <cell r="BV20">
            <v>2</v>
          </cell>
        </row>
        <row r="21">
          <cell r="BS21">
            <v>50</v>
          </cell>
          <cell r="BT21">
            <v>1</v>
          </cell>
          <cell r="BV21">
            <v>2</v>
          </cell>
        </row>
        <row r="22">
          <cell r="BS22">
            <v>21</v>
          </cell>
          <cell r="BU22">
            <v>1</v>
          </cell>
          <cell r="BV22">
            <v>4</v>
          </cell>
        </row>
        <row r="23">
          <cell r="BS23">
            <v>22</v>
          </cell>
          <cell r="BU23">
            <v>1</v>
          </cell>
          <cell r="BV23">
            <v>4</v>
          </cell>
        </row>
        <row r="24">
          <cell r="BS24">
            <v>23</v>
          </cell>
          <cell r="BU24">
            <v>1</v>
          </cell>
          <cell r="BV24">
            <v>4</v>
          </cell>
        </row>
        <row r="25">
          <cell r="BS25">
            <v>24</v>
          </cell>
          <cell r="BT25">
            <v>1</v>
          </cell>
          <cell r="BV25">
            <v>2</v>
          </cell>
        </row>
        <row r="26">
          <cell r="BS26">
            <v>25</v>
          </cell>
          <cell r="BU26">
            <v>1</v>
          </cell>
          <cell r="BV26">
            <v>4</v>
          </cell>
        </row>
        <row r="27">
          <cell r="BS27">
            <v>26</v>
          </cell>
          <cell r="BU27">
            <v>1</v>
          </cell>
          <cell r="BV27">
            <v>4</v>
          </cell>
        </row>
        <row r="28">
          <cell r="BS28">
            <v>27</v>
          </cell>
          <cell r="BT28">
            <v>1</v>
          </cell>
          <cell r="BV28">
            <v>2</v>
          </cell>
        </row>
        <row r="29">
          <cell r="BS29">
            <v>28</v>
          </cell>
          <cell r="BU29">
            <v>1</v>
          </cell>
          <cell r="BV29">
            <v>4</v>
          </cell>
        </row>
        <row r="30">
          <cell r="BS30">
            <v>29</v>
          </cell>
          <cell r="BU30">
            <v>1</v>
          </cell>
          <cell r="BV30">
            <v>4</v>
          </cell>
        </row>
        <row r="31">
          <cell r="BS31">
            <v>30</v>
          </cell>
          <cell r="BU31">
            <v>1</v>
          </cell>
          <cell r="BV31">
            <v>4</v>
          </cell>
        </row>
        <row r="32">
          <cell r="BS32">
            <v>31</v>
          </cell>
          <cell r="BT32">
            <v>1</v>
          </cell>
          <cell r="BV32">
            <v>2</v>
          </cell>
        </row>
        <row r="33">
          <cell r="BS33">
            <v>32</v>
          </cell>
          <cell r="BU33">
            <v>1</v>
          </cell>
          <cell r="BV33">
            <v>4</v>
          </cell>
        </row>
        <row r="34">
          <cell r="BS34">
            <v>33</v>
          </cell>
          <cell r="BT34">
            <v>1</v>
          </cell>
          <cell r="BV34">
            <v>2</v>
          </cell>
        </row>
        <row r="35">
          <cell r="BS35">
            <v>34</v>
          </cell>
          <cell r="BT35">
            <v>1</v>
          </cell>
          <cell r="BV35">
            <v>2</v>
          </cell>
        </row>
        <row r="36">
          <cell r="BS36">
            <v>51</v>
          </cell>
          <cell r="BT36">
            <v>1</v>
          </cell>
          <cell r="BV36">
            <v>2</v>
          </cell>
        </row>
        <row r="37">
          <cell r="BS37">
            <v>35</v>
          </cell>
          <cell r="BT37">
            <v>1</v>
          </cell>
          <cell r="BV37">
            <v>2</v>
          </cell>
        </row>
        <row r="38">
          <cell r="BS38">
            <v>36</v>
          </cell>
          <cell r="BT38">
            <v>1</v>
          </cell>
          <cell r="BV38">
            <v>2</v>
          </cell>
        </row>
        <row r="39">
          <cell r="BS39">
            <v>37</v>
          </cell>
          <cell r="BT39">
            <v>1</v>
          </cell>
          <cell r="BV39">
            <v>2</v>
          </cell>
        </row>
        <row r="40">
          <cell r="BS40">
            <v>38</v>
          </cell>
          <cell r="BT40">
            <v>1</v>
          </cell>
          <cell r="BV40">
            <v>2</v>
          </cell>
        </row>
        <row r="41">
          <cell r="BS41">
            <v>39</v>
          </cell>
          <cell r="BU41">
            <v>1</v>
          </cell>
          <cell r="BV41">
            <v>4</v>
          </cell>
        </row>
        <row r="42">
          <cell r="BS42">
            <v>40</v>
          </cell>
          <cell r="BT42">
            <v>1</v>
          </cell>
          <cell r="BV42">
            <v>2</v>
          </cell>
        </row>
        <row r="43">
          <cell r="BS43">
            <v>41</v>
          </cell>
          <cell r="BT43">
            <v>1</v>
          </cell>
          <cell r="BV43">
            <v>2</v>
          </cell>
        </row>
        <row r="44">
          <cell r="BS44">
            <v>42</v>
          </cell>
          <cell r="BT44">
            <v>1</v>
          </cell>
          <cell r="BV44">
            <v>2</v>
          </cell>
        </row>
        <row r="45">
          <cell r="BS45">
            <v>43</v>
          </cell>
          <cell r="BT45">
            <v>1</v>
          </cell>
          <cell r="BV45">
            <v>2</v>
          </cell>
        </row>
        <row r="46">
          <cell r="BS46">
            <v>44</v>
          </cell>
          <cell r="BT46">
            <v>1</v>
          </cell>
          <cell r="BV46">
            <v>2</v>
          </cell>
        </row>
        <row r="47">
          <cell r="BS47">
            <v>45</v>
          </cell>
          <cell r="BT47">
            <v>1</v>
          </cell>
          <cell r="BV47">
            <v>2</v>
          </cell>
        </row>
        <row r="48">
          <cell r="BS48">
            <v>46</v>
          </cell>
          <cell r="BT48">
            <v>1</v>
          </cell>
          <cell r="BV48">
            <v>2</v>
          </cell>
        </row>
        <row r="49">
          <cell r="BS49">
            <v>47</v>
          </cell>
          <cell r="BT49">
            <v>1</v>
          </cell>
          <cell r="BV49">
            <v>2</v>
          </cell>
        </row>
        <row r="50">
          <cell r="BS50">
            <v>48</v>
          </cell>
          <cell r="BT50">
            <v>1</v>
          </cell>
          <cell r="BV50">
            <v>2</v>
          </cell>
        </row>
        <row r="51">
          <cell r="BS51">
            <v>49</v>
          </cell>
          <cell r="BT51">
            <v>1</v>
          </cell>
          <cell r="BV5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Q21" sqref="Q21"/>
    </sheetView>
  </sheetViews>
  <sheetFormatPr defaultColWidth="9.140625" defaultRowHeight="15"/>
  <cols>
    <col min="1" max="1" width="5.57421875" style="11" bestFit="1" customWidth="1"/>
    <col min="2" max="2" width="8.8515625" style="11" bestFit="1" customWidth="1"/>
    <col min="3" max="3" width="6.421875" style="0" bestFit="1" customWidth="1"/>
    <col min="4" max="4" width="10.57421875" style="0" bestFit="1" customWidth="1"/>
    <col min="5" max="5" width="9.421875" style="0" bestFit="1" customWidth="1"/>
    <col min="6" max="6" width="8.7109375" style="0" bestFit="1" customWidth="1"/>
    <col min="7" max="7" width="14.8515625" style="2" bestFit="1" customWidth="1"/>
    <col min="8" max="8" width="5.00390625" style="3" customWidth="1"/>
    <col min="9" max="9" width="5.57421875" style="13" customWidth="1"/>
    <col min="10" max="10" width="7.00390625" style="13" customWidth="1"/>
    <col min="11" max="12" width="5.57421875" style="13" customWidth="1"/>
    <col min="13" max="28" width="6.421875" style="0" customWidth="1"/>
  </cols>
  <sheetData>
    <row r="1" spans="3:16" ht="11.25" customHeight="1">
      <c r="C1" s="11"/>
      <c r="D1" s="11"/>
      <c r="E1" s="11"/>
      <c r="F1" s="11"/>
      <c r="G1" s="12"/>
      <c r="H1" s="13"/>
      <c r="M1" s="11"/>
      <c r="N1" s="11"/>
      <c r="O1" s="11"/>
      <c r="P1" s="11"/>
    </row>
    <row r="2" spans="3:16" ht="21">
      <c r="C2" s="11"/>
      <c r="D2" s="11"/>
      <c r="E2" s="11"/>
      <c r="F2" s="14"/>
      <c r="G2" s="15"/>
      <c r="H2" s="13"/>
      <c r="M2" s="1"/>
      <c r="N2" s="11" t="s">
        <v>14</v>
      </c>
      <c r="O2" s="11"/>
      <c r="P2" s="11"/>
    </row>
    <row r="3" spans="3:18" ht="21">
      <c r="C3" s="11"/>
      <c r="D3" s="11"/>
      <c r="E3" s="11"/>
      <c r="F3" s="14"/>
      <c r="G3" s="15"/>
      <c r="H3" s="13"/>
      <c r="M3" s="7"/>
      <c r="N3" s="11" t="s">
        <v>15</v>
      </c>
      <c r="O3" s="11"/>
      <c r="P3" s="11"/>
      <c r="R3" t="s">
        <v>236</v>
      </c>
    </row>
    <row r="4" spans="3:16" ht="18" customHeight="1">
      <c r="C4" s="11"/>
      <c r="D4" s="11"/>
      <c r="E4" s="11"/>
      <c r="F4" s="11"/>
      <c r="G4" s="12"/>
      <c r="H4" s="13"/>
      <c r="M4" s="11"/>
      <c r="N4" s="11"/>
      <c r="O4" s="11"/>
      <c r="P4" s="11"/>
    </row>
    <row r="5" spans="1:28" s="6" customFormat="1" ht="12">
      <c r="A5" s="4" t="s">
        <v>0</v>
      </c>
      <c r="B5" s="4" t="s">
        <v>1</v>
      </c>
      <c r="C5" s="4"/>
      <c r="D5" s="4" t="s">
        <v>2</v>
      </c>
      <c r="E5" s="4"/>
      <c r="F5" s="4" t="s">
        <v>3</v>
      </c>
      <c r="G5" s="4" t="s">
        <v>4</v>
      </c>
      <c r="H5" s="4" t="s">
        <v>155</v>
      </c>
      <c r="I5" s="4" t="s">
        <v>12</v>
      </c>
      <c r="J5" s="4" t="s">
        <v>235</v>
      </c>
      <c r="K5" s="4" t="s">
        <v>153</v>
      </c>
      <c r="L5" s="4" t="s">
        <v>154</v>
      </c>
      <c r="M5" s="5" t="s">
        <v>16</v>
      </c>
      <c r="N5" s="5" t="s">
        <v>17</v>
      </c>
      <c r="O5" s="5" t="s">
        <v>18</v>
      </c>
      <c r="P5" s="5" t="s">
        <v>19</v>
      </c>
      <c r="Q5" s="5" t="s">
        <v>20</v>
      </c>
      <c r="R5" s="5" t="s">
        <v>21</v>
      </c>
      <c r="S5" s="5" t="s">
        <v>22</v>
      </c>
      <c r="T5" s="5" t="s">
        <v>23</v>
      </c>
      <c r="U5" s="5" t="s">
        <v>24</v>
      </c>
      <c r="V5" s="5" t="s">
        <v>25</v>
      </c>
      <c r="W5" s="5" t="s">
        <v>26</v>
      </c>
      <c r="X5" s="5" t="s">
        <v>27</v>
      </c>
      <c r="Y5" s="5" t="s">
        <v>28</v>
      </c>
      <c r="Z5" s="5" t="s">
        <v>29</v>
      </c>
      <c r="AA5" s="5" t="s">
        <v>30</v>
      </c>
      <c r="AB5" s="5" t="s">
        <v>31</v>
      </c>
    </row>
    <row r="6" spans="1:28" s="6" customFormat="1" ht="12">
      <c r="A6" s="16">
        <v>2</v>
      </c>
      <c r="B6" s="17" t="s">
        <v>36</v>
      </c>
      <c r="C6" s="17" t="s">
        <v>75</v>
      </c>
      <c r="D6" s="17" t="s">
        <v>55</v>
      </c>
      <c r="E6" s="17" t="s">
        <v>52</v>
      </c>
      <c r="F6" s="17" t="s">
        <v>156</v>
      </c>
      <c r="G6" s="18" t="s">
        <v>157</v>
      </c>
      <c r="H6" s="16">
        <f>VLOOKUP(A6,'[1]Entry'!$BS$2:$BV$51,4,FALSE)</f>
        <v>4</v>
      </c>
      <c r="I6" s="16" t="s">
        <v>13</v>
      </c>
      <c r="J6" s="16"/>
      <c r="K6" s="16"/>
      <c r="L6" s="16"/>
      <c r="M6" s="8">
        <v>0.002736111111111111</v>
      </c>
      <c r="N6" s="8">
        <v>0.008979166666666667</v>
      </c>
      <c r="O6" s="8">
        <v>0.004655092592592593</v>
      </c>
      <c r="P6" s="8">
        <v>0.008729166666666666</v>
      </c>
      <c r="Q6" s="8">
        <v>0.002672453703703704</v>
      </c>
      <c r="R6" s="8">
        <v>0.00860300925925926</v>
      </c>
      <c r="S6" s="8">
        <v>0.004717592592592593</v>
      </c>
      <c r="T6" s="8">
        <v>0.008623842592592593</v>
      </c>
      <c r="U6" s="8">
        <v>0.003550925925925926</v>
      </c>
      <c r="V6" s="8">
        <v>0.0046770833333333334</v>
      </c>
      <c r="W6" s="8">
        <v>0.005386574074074074</v>
      </c>
      <c r="X6" s="8">
        <v>0.003670138888888889</v>
      </c>
      <c r="Y6" s="19"/>
      <c r="Z6" s="8">
        <v>0.0045543981481481486</v>
      </c>
      <c r="AA6" s="8">
        <v>0.00537037037037037</v>
      </c>
      <c r="AB6" s="8">
        <v>0.003685185185185185</v>
      </c>
    </row>
    <row r="7" spans="1:28" s="6" customFormat="1" ht="12">
      <c r="A7" s="16">
        <v>3</v>
      </c>
      <c r="B7" s="17" t="s">
        <v>32</v>
      </c>
      <c r="C7" s="17" t="s">
        <v>41</v>
      </c>
      <c r="D7" s="17" t="s">
        <v>79</v>
      </c>
      <c r="E7" s="17" t="s">
        <v>42</v>
      </c>
      <c r="F7" s="17" t="s">
        <v>9</v>
      </c>
      <c r="G7" s="18" t="s">
        <v>158</v>
      </c>
      <c r="H7" s="16">
        <f>VLOOKUP(A7,'[1]Entry'!$BS$2:$BV$51,4,FALSE)</f>
        <v>4</v>
      </c>
      <c r="I7" s="16" t="s">
        <v>13</v>
      </c>
      <c r="J7" s="16"/>
      <c r="K7" s="16"/>
      <c r="L7" s="16"/>
      <c r="M7" s="8">
        <v>0.0026550925925925926</v>
      </c>
      <c r="N7" s="8">
        <v>0.008677083333333334</v>
      </c>
      <c r="O7" s="8">
        <v>0.004736111111111111</v>
      </c>
      <c r="P7" s="8">
        <v>0.00877199074074074</v>
      </c>
      <c r="Q7" s="8">
        <v>0.0025925925925925925</v>
      </c>
      <c r="R7" s="8">
        <v>0.008547453703703703</v>
      </c>
      <c r="S7" s="8">
        <v>0.004563657407407408</v>
      </c>
      <c r="T7" s="8">
        <v>0.008481481481481482</v>
      </c>
      <c r="U7" s="8">
        <v>0.003545138888888889</v>
      </c>
      <c r="V7" s="8">
        <v>0.004527777777777778</v>
      </c>
      <c r="W7" s="8">
        <v>0.0052824074074074075</v>
      </c>
      <c r="X7" s="8">
        <v>0.00362962962962963</v>
      </c>
      <c r="Y7" s="19"/>
      <c r="Z7" s="8">
        <v>0.004487268518518519</v>
      </c>
      <c r="AA7" s="8">
        <v>0.005207175925925926</v>
      </c>
      <c r="AB7" s="8">
        <v>0.003577546296296296</v>
      </c>
    </row>
    <row r="8" spans="1:28" s="6" customFormat="1" ht="12">
      <c r="A8" s="16">
        <v>4</v>
      </c>
      <c r="B8" s="17" t="s">
        <v>33</v>
      </c>
      <c r="C8" s="17" t="s">
        <v>38</v>
      </c>
      <c r="D8" s="17" t="s">
        <v>159</v>
      </c>
      <c r="E8" s="17" t="s">
        <v>160</v>
      </c>
      <c r="F8" s="17" t="s">
        <v>8</v>
      </c>
      <c r="G8" s="18" t="s">
        <v>74</v>
      </c>
      <c r="H8" s="16">
        <f>VLOOKUP(A8,'[1]Entry'!$BS$2:$BV$51,4,FALSE)</f>
        <v>4</v>
      </c>
      <c r="I8" s="16" t="s">
        <v>13</v>
      </c>
      <c r="J8" s="16"/>
      <c r="K8" s="16"/>
      <c r="L8" s="16"/>
      <c r="M8" s="8">
        <v>0.002744212962962963</v>
      </c>
      <c r="N8" s="8">
        <v>0.008899305555555556</v>
      </c>
      <c r="O8" s="8">
        <v>0.004869212962962963</v>
      </c>
      <c r="P8" s="8">
        <v>0.010944444444444444</v>
      </c>
      <c r="Q8" s="8">
        <v>0.002679398148148148</v>
      </c>
      <c r="R8" s="8">
        <v>0.008716435185185185</v>
      </c>
      <c r="S8" s="8">
        <v>0.004666666666666667</v>
      </c>
      <c r="T8" s="8">
        <v>0.00868287037037037</v>
      </c>
      <c r="U8" s="8">
        <v>0.0035208333333333333</v>
      </c>
      <c r="V8" s="8">
        <v>0.004707175925925926</v>
      </c>
      <c r="W8" s="8">
        <v>0.005609953703703704</v>
      </c>
      <c r="X8" s="8">
        <v>0.0037650462962962963</v>
      </c>
      <c r="Y8" s="19"/>
      <c r="Z8" s="8">
        <v>0.004615740740740741</v>
      </c>
      <c r="AA8" s="8">
        <v>0.005275462962962963</v>
      </c>
      <c r="AB8" s="8">
        <v>0.003670138888888889</v>
      </c>
    </row>
    <row r="9" spans="1:28" s="6" customFormat="1" ht="12">
      <c r="A9" s="16">
        <v>5</v>
      </c>
      <c r="B9" s="17" t="s">
        <v>103</v>
      </c>
      <c r="C9" s="17" t="s">
        <v>76</v>
      </c>
      <c r="D9" s="17" t="s">
        <v>104</v>
      </c>
      <c r="E9" s="17" t="s">
        <v>105</v>
      </c>
      <c r="F9" s="17" t="s">
        <v>7</v>
      </c>
      <c r="G9" s="18" t="s">
        <v>78</v>
      </c>
      <c r="H9" s="16">
        <f>VLOOKUP(A9,'[1]Entry'!$BS$2:$BV$51,4,FALSE)</f>
        <v>4</v>
      </c>
      <c r="I9" s="16" t="s">
        <v>13</v>
      </c>
      <c r="J9" s="16"/>
      <c r="K9" s="16" t="s">
        <v>13</v>
      </c>
      <c r="L9" s="16" t="s">
        <v>13</v>
      </c>
      <c r="M9" s="8">
        <v>0.002695601851851852</v>
      </c>
      <c r="N9" s="8">
        <v>0.01263773148148148</v>
      </c>
      <c r="O9" s="9">
        <f>5791/864000</f>
        <v>0.006702546296296297</v>
      </c>
      <c r="P9" s="9">
        <f>11085/864000</f>
        <v>0.012829861111111111</v>
      </c>
      <c r="Q9" s="8">
        <v>0.002636574074074074</v>
      </c>
      <c r="R9" s="8">
        <v>0.008586805555555556</v>
      </c>
      <c r="S9" s="8">
        <v>0.004679398148148148</v>
      </c>
      <c r="T9" s="8">
        <v>0.008626157407407407</v>
      </c>
      <c r="U9" s="8">
        <v>0.0035289351851851853</v>
      </c>
      <c r="V9" s="8">
        <v>0.004627314814814815</v>
      </c>
      <c r="W9" s="8">
        <v>0.005381944444444444</v>
      </c>
      <c r="X9" s="8">
        <v>0.0037199074074074075</v>
      </c>
      <c r="Y9" s="19"/>
      <c r="Z9" s="8">
        <v>0.004542824074074074</v>
      </c>
      <c r="AA9" s="8">
        <v>0.005230324074074074</v>
      </c>
      <c r="AB9" s="8">
        <v>0.0035868055555555558</v>
      </c>
    </row>
    <row r="10" spans="1:28" s="6" customFormat="1" ht="12">
      <c r="A10" s="16">
        <v>6</v>
      </c>
      <c r="B10" s="17" t="s">
        <v>161</v>
      </c>
      <c r="C10" s="17" t="s">
        <v>162</v>
      </c>
      <c r="D10" s="17" t="s">
        <v>163</v>
      </c>
      <c r="E10" s="17" t="s">
        <v>164</v>
      </c>
      <c r="F10" s="17" t="s">
        <v>37</v>
      </c>
      <c r="G10" s="18">
        <v>208</v>
      </c>
      <c r="H10" s="16">
        <f>VLOOKUP(A10,'[1]Entry'!$BS$2:$BV$51,4,FALSE)</f>
        <v>4</v>
      </c>
      <c r="I10" s="16" t="s">
        <v>13</v>
      </c>
      <c r="J10" s="16"/>
      <c r="K10" s="16"/>
      <c r="L10" s="16"/>
      <c r="M10" s="8">
        <v>0.002990740740740741</v>
      </c>
      <c r="N10" s="8">
        <v>0.009644675925925926</v>
      </c>
      <c r="O10" s="10">
        <f>4346/864000</f>
        <v>0.005030092592592593</v>
      </c>
      <c r="P10" s="8">
        <v>0.009770833333333333</v>
      </c>
      <c r="Q10" s="8">
        <v>0.0028263888888888887</v>
      </c>
      <c r="R10" s="8">
        <v>0.009165509259259259</v>
      </c>
      <c r="S10" s="8">
        <v>0.004834490740740741</v>
      </c>
      <c r="T10" s="8">
        <v>0.008895833333333334</v>
      </c>
      <c r="U10" s="8">
        <v>0.003809027777777778</v>
      </c>
      <c r="V10" s="8">
        <v>0.004980324074074074</v>
      </c>
      <c r="W10" s="8">
        <v>0.005804398148148148</v>
      </c>
      <c r="X10" s="8">
        <v>0.004083333333333333</v>
      </c>
      <c r="Y10" s="19"/>
      <c r="Z10" s="8">
        <v>0.004907407407407407</v>
      </c>
      <c r="AA10" s="8">
        <v>0.00568287037037037</v>
      </c>
      <c r="AB10" s="8">
        <v>0.0037951388888888887</v>
      </c>
    </row>
    <row r="11" spans="1:28" s="6" customFormat="1" ht="12">
      <c r="A11" s="16">
        <v>7</v>
      </c>
      <c r="B11" s="17" t="s">
        <v>59</v>
      </c>
      <c r="C11" s="17" t="s">
        <v>60</v>
      </c>
      <c r="D11" s="17" t="s">
        <v>56</v>
      </c>
      <c r="E11" s="17" t="s">
        <v>57</v>
      </c>
      <c r="F11" s="17" t="s">
        <v>8</v>
      </c>
      <c r="G11" s="18" t="s">
        <v>74</v>
      </c>
      <c r="H11" s="16">
        <f>VLOOKUP(A11,'[1]Entry'!$BS$2:$BV$51,4,FALSE)</f>
        <v>4</v>
      </c>
      <c r="I11" s="16" t="s">
        <v>13</v>
      </c>
      <c r="J11" s="16"/>
      <c r="K11" s="16" t="s">
        <v>13</v>
      </c>
      <c r="L11" s="16"/>
      <c r="M11" s="8">
        <v>0.0028877314814814816</v>
      </c>
      <c r="N11" s="8">
        <v>0.00942013888888889</v>
      </c>
      <c r="O11" s="10">
        <f>4269/864000</f>
        <v>0.0049409722222222225</v>
      </c>
      <c r="P11" s="8">
        <v>0.009097222222222222</v>
      </c>
      <c r="Q11" s="8">
        <v>0.002861111111111111</v>
      </c>
      <c r="R11" s="8">
        <v>0.009252314814814816</v>
      </c>
      <c r="S11" s="8">
        <v>0.004813657407407407</v>
      </c>
      <c r="T11" s="8">
        <v>0.008952546296296297</v>
      </c>
      <c r="U11" s="8">
        <v>0.0038449074074074076</v>
      </c>
      <c r="V11" s="8">
        <v>0.004978009259259259</v>
      </c>
      <c r="W11" s="8">
        <v>0.00580787037037037</v>
      </c>
      <c r="X11" s="8">
        <v>0.0039027777777777776</v>
      </c>
      <c r="Y11" s="19"/>
      <c r="Z11" s="8">
        <v>0.004934027777777778</v>
      </c>
      <c r="AA11" s="8">
        <v>0.005684027777777777</v>
      </c>
      <c r="AB11" s="8">
        <v>0.0037939814814814815</v>
      </c>
    </row>
    <row r="12" spans="1:28" s="6" customFormat="1" ht="12">
      <c r="A12" s="16">
        <v>8</v>
      </c>
      <c r="B12" s="17" t="s">
        <v>80</v>
      </c>
      <c r="C12" s="17" t="s">
        <v>81</v>
      </c>
      <c r="D12" s="17" t="s">
        <v>165</v>
      </c>
      <c r="E12" s="17" t="s">
        <v>46</v>
      </c>
      <c r="F12" s="17" t="s">
        <v>8</v>
      </c>
      <c r="G12" s="18" t="s">
        <v>74</v>
      </c>
      <c r="H12" s="16">
        <f>VLOOKUP(A12,'[1]Entry'!$BS$2:$BV$51,4,FALSE)</f>
        <v>4</v>
      </c>
      <c r="I12" s="16" t="s">
        <v>13</v>
      </c>
      <c r="J12" s="16"/>
      <c r="K12" s="16"/>
      <c r="L12" s="16"/>
      <c r="M12" s="8">
        <v>0.002684027777777778</v>
      </c>
      <c r="N12" s="8">
        <v>0.008756944444444444</v>
      </c>
      <c r="O12" s="8">
        <v>0.004646990740740741</v>
      </c>
      <c r="P12" s="8">
        <v>0.00885648148148148</v>
      </c>
      <c r="Q12" s="8">
        <v>0.0026319444444444446</v>
      </c>
      <c r="R12" s="8">
        <v>0.008559027777777778</v>
      </c>
      <c r="S12" s="8">
        <v>0.004578703703703704</v>
      </c>
      <c r="T12" s="8">
        <v>0.008400462962962964</v>
      </c>
      <c r="U12" s="8">
        <v>0.00353125</v>
      </c>
      <c r="V12" s="8">
        <v>0.004652777777777777</v>
      </c>
      <c r="W12" s="8">
        <v>0.005340277777777778</v>
      </c>
      <c r="X12" s="8">
        <v>0.0036331018518518518</v>
      </c>
      <c r="Y12" s="19"/>
      <c r="Z12" s="8">
        <v>0.004579861111111111</v>
      </c>
      <c r="AA12" s="8">
        <v>0.005263888888888889</v>
      </c>
      <c r="AB12" s="8">
        <v>0.003577546296296296</v>
      </c>
    </row>
    <row r="13" spans="1:28" s="6" customFormat="1" ht="12">
      <c r="A13" s="16">
        <v>9</v>
      </c>
      <c r="B13" s="17" t="s">
        <v>39</v>
      </c>
      <c r="C13" s="17" t="s">
        <v>52</v>
      </c>
      <c r="D13" s="17" t="s">
        <v>39</v>
      </c>
      <c r="E13" s="17" t="s">
        <v>106</v>
      </c>
      <c r="F13" s="17" t="s">
        <v>8</v>
      </c>
      <c r="G13" s="18" t="s">
        <v>74</v>
      </c>
      <c r="H13" s="16">
        <f>VLOOKUP(A13,'[1]Entry'!$BS$2:$BV$51,4,FALSE)</f>
        <v>4</v>
      </c>
      <c r="I13" s="16" t="s">
        <v>13</v>
      </c>
      <c r="J13" s="16"/>
      <c r="K13" s="16" t="s">
        <v>13</v>
      </c>
      <c r="L13" s="16" t="s">
        <v>13</v>
      </c>
      <c r="M13" s="8">
        <v>0.0029375</v>
      </c>
      <c r="N13" s="8">
        <v>0.009715277777777778</v>
      </c>
      <c r="O13" s="10">
        <f>4452/864000</f>
        <v>0.005152777777777778</v>
      </c>
      <c r="P13" s="8">
        <v>0.009972222222222223</v>
      </c>
      <c r="Q13" s="8">
        <v>0.002957175925925926</v>
      </c>
      <c r="R13" s="8">
        <v>0.009457175925925926</v>
      </c>
      <c r="S13" s="8">
        <v>0.005001157407407407</v>
      </c>
      <c r="T13" s="8">
        <v>0.00926388888888889</v>
      </c>
      <c r="U13" s="8">
        <v>0.0039178240740740744</v>
      </c>
      <c r="V13" s="8">
        <v>0.005247685185185185</v>
      </c>
      <c r="W13" s="8">
        <v>0.006092592592592593</v>
      </c>
      <c r="X13" s="8">
        <v>0.0040266203703703705</v>
      </c>
      <c r="Y13" s="19"/>
      <c r="Z13" s="8">
        <v>0.005194444444444444</v>
      </c>
      <c r="AA13" s="8">
        <v>0.005606481481481481</v>
      </c>
      <c r="AB13" s="8">
        <v>0.003903935185185185</v>
      </c>
    </row>
    <row r="14" spans="1:28" s="6" customFormat="1" ht="12">
      <c r="A14" s="16">
        <v>10</v>
      </c>
      <c r="B14" s="17" t="s">
        <v>166</v>
      </c>
      <c r="C14" s="17" t="s">
        <v>167</v>
      </c>
      <c r="D14" s="17" t="s">
        <v>168</v>
      </c>
      <c r="E14" s="17" t="s">
        <v>169</v>
      </c>
      <c r="F14" s="17" t="s">
        <v>7</v>
      </c>
      <c r="G14" s="18" t="s">
        <v>170</v>
      </c>
      <c r="H14" s="16">
        <f>VLOOKUP(A14,'[1]Entry'!$BS$2:$BV$51,4,FALSE)</f>
        <v>4</v>
      </c>
      <c r="I14" s="16" t="s">
        <v>13</v>
      </c>
      <c r="J14" s="16"/>
      <c r="K14" s="16" t="s">
        <v>13</v>
      </c>
      <c r="L14" s="16" t="s">
        <v>13</v>
      </c>
      <c r="M14" s="8">
        <v>0.0031122685185185186</v>
      </c>
      <c r="N14" s="8">
        <v>0.01025925925925926</v>
      </c>
      <c r="O14" s="10">
        <f>4582/864000</f>
        <v>0.00530324074074074</v>
      </c>
      <c r="P14" s="8">
        <v>0.00967824074074074</v>
      </c>
      <c r="Q14" s="8">
        <v>0.0030787037037037037</v>
      </c>
      <c r="R14" s="8">
        <v>0.009895833333333333</v>
      </c>
      <c r="S14" s="8">
        <v>0.005163194444444444</v>
      </c>
      <c r="T14" s="8">
        <v>0.009560185185185185</v>
      </c>
      <c r="U14" s="8"/>
      <c r="V14" s="8"/>
      <c r="W14" s="8"/>
      <c r="X14" s="8"/>
      <c r="Y14" s="19"/>
      <c r="Z14" s="8"/>
      <c r="AA14" s="8"/>
      <c r="AB14" s="8"/>
    </row>
    <row r="15" spans="1:28" s="6" customFormat="1" ht="12">
      <c r="A15" s="16">
        <v>11</v>
      </c>
      <c r="B15" s="17" t="s">
        <v>32</v>
      </c>
      <c r="C15" s="17" t="s">
        <v>98</v>
      </c>
      <c r="D15" s="17" t="s">
        <v>171</v>
      </c>
      <c r="E15" s="17" t="s">
        <v>172</v>
      </c>
      <c r="F15" s="17" t="s">
        <v>9</v>
      </c>
      <c r="G15" s="18" t="s">
        <v>73</v>
      </c>
      <c r="H15" s="16">
        <f>VLOOKUP(A15,'[1]Entry'!$BS$2:$BV$51,4,FALSE)</f>
        <v>4</v>
      </c>
      <c r="I15" s="16" t="s">
        <v>13</v>
      </c>
      <c r="J15" s="16"/>
      <c r="K15" s="16"/>
      <c r="L15" s="16"/>
      <c r="M15" s="8">
        <v>0.002797453703703704</v>
      </c>
      <c r="N15" s="8">
        <v>0.009107638888888889</v>
      </c>
      <c r="O15" s="10">
        <f>4145/864000</f>
        <v>0.004797453703703704</v>
      </c>
      <c r="P15" s="8">
        <v>0.00890162037037037</v>
      </c>
      <c r="Q15" s="8">
        <v>0.002746527777777778</v>
      </c>
      <c r="R15" s="8">
        <v>0.008866898148148148</v>
      </c>
      <c r="S15" s="8">
        <v>0.0047546296296296295</v>
      </c>
      <c r="T15" s="8">
        <v>0.00873726851851852</v>
      </c>
      <c r="U15" s="8">
        <v>0.0037407407407407407</v>
      </c>
      <c r="V15" s="8">
        <v>0.0049328703703703704</v>
      </c>
      <c r="W15" s="8">
        <v>0.005600694444444445</v>
      </c>
      <c r="X15" s="8">
        <v>0.0037766203703703703</v>
      </c>
      <c r="Y15" s="19"/>
      <c r="Z15" s="8">
        <v>0.004767361111111111</v>
      </c>
      <c r="AA15" s="8">
        <v>0.0055</v>
      </c>
      <c r="AB15" s="8">
        <v>0.0037175925925925926</v>
      </c>
    </row>
    <row r="16" spans="1:28" s="6" customFormat="1" ht="12">
      <c r="A16" s="16">
        <v>12</v>
      </c>
      <c r="B16" s="17" t="s">
        <v>44</v>
      </c>
      <c r="C16" s="17" t="s">
        <v>43</v>
      </c>
      <c r="D16" s="17" t="s">
        <v>173</v>
      </c>
      <c r="E16" s="17" t="s">
        <v>174</v>
      </c>
      <c r="F16" s="17" t="s">
        <v>8</v>
      </c>
      <c r="G16" s="18" t="s">
        <v>86</v>
      </c>
      <c r="H16" s="16">
        <f>VLOOKUP(A16,'[1]Entry'!$BS$2:$BV$51,4,FALSE)</f>
        <v>4</v>
      </c>
      <c r="I16" s="16" t="s">
        <v>13</v>
      </c>
      <c r="J16" s="16"/>
      <c r="K16" s="16" t="s">
        <v>13</v>
      </c>
      <c r="L16" s="16"/>
      <c r="M16" s="8">
        <v>0.003053240740740741</v>
      </c>
      <c r="N16" s="8">
        <v>0.009724537037037037</v>
      </c>
      <c r="O16" s="10">
        <f>4360/864000</f>
        <v>0.005046296296296296</v>
      </c>
      <c r="P16" s="8">
        <v>0.009415509259259259</v>
      </c>
      <c r="Q16" s="8">
        <v>0.0029097222222222224</v>
      </c>
      <c r="R16" s="8">
        <v>0.00929513888888889</v>
      </c>
      <c r="S16" s="8">
        <v>0.004923611111111111</v>
      </c>
      <c r="T16" s="8">
        <v>0.008971064814814815</v>
      </c>
      <c r="U16" s="8">
        <v>0.003861111111111111</v>
      </c>
      <c r="V16" s="8">
        <v>0.004993055555555555</v>
      </c>
      <c r="W16" s="8">
        <v>0.005825231481481482</v>
      </c>
      <c r="X16" s="8">
        <v>0.004076388888888889</v>
      </c>
      <c r="Y16" s="19"/>
      <c r="Z16" s="8">
        <v>0.005001157407407407</v>
      </c>
      <c r="AA16" s="8">
        <v>0.005825231481481482</v>
      </c>
      <c r="AB16" s="8">
        <v>0.003986111111111111</v>
      </c>
    </row>
    <row r="17" spans="1:28" s="6" customFormat="1" ht="12">
      <c r="A17" s="16">
        <v>13</v>
      </c>
      <c r="B17" s="17" t="s">
        <v>175</v>
      </c>
      <c r="C17" s="17" t="s">
        <v>84</v>
      </c>
      <c r="D17" s="17" t="s">
        <v>44</v>
      </c>
      <c r="E17" s="17" t="s">
        <v>45</v>
      </c>
      <c r="F17" s="17" t="s">
        <v>9</v>
      </c>
      <c r="G17" s="18" t="s">
        <v>73</v>
      </c>
      <c r="H17" s="16">
        <f>VLOOKUP(A17,'[1]Entry'!$BS$2:$BV$51,4,FALSE)</f>
        <v>4</v>
      </c>
      <c r="I17" s="16" t="s">
        <v>13</v>
      </c>
      <c r="J17" s="16"/>
      <c r="K17" s="16" t="s">
        <v>13</v>
      </c>
      <c r="L17" s="16"/>
      <c r="M17" s="8">
        <v>0.0030462962962962965</v>
      </c>
      <c r="N17" s="8">
        <v>0.009526620370370371</v>
      </c>
      <c r="O17" s="10">
        <f>4358/864000</f>
        <v>0.005043981481481482</v>
      </c>
      <c r="P17" s="8">
        <v>0.009287037037037036</v>
      </c>
      <c r="Q17" s="8">
        <v>0.002959490740740741</v>
      </c>
      <c r="R17" s="8">
        <v>0.00937962962962963</v>
      </c>
      <c r="S17" s="8">
        <v>0.004950231481481482</v>
      </c>
      <c r="T17" s="8">
        <v>0.009116898148148148</v>
      </c>
      <c r="U17" s="8">
        <v>0.007635416666666667</v>
      </c>
      <c r="V17" s="8">
        <v>0.005148148148148148</v>
      </c>
      <c r="W17" s="9">
        <f>7030/864000</f>
        <v>0.008136574074074074</v>
      </c>
      <c r="X17" s="9">
        <f>3978/864000</f>
        <v>0.004604166666666667</v>
      </c>
      <c r="Y17" s="19"/>
      <c r="Z17" s="8">
        <v>0.005039351851851852</v>
      </c>
      <c r="AA17" s="8">
        <v>0.0057696759259259255</v>
      </c>
      <c r="AB17" s="8">
        <v>0.0039490740740740745</v>
      </c>
    </row>
    <row r="18" spans="1:28" s="6" customFormat="1" ht="12">
      <c r="A18" s="16">
        <v>14</v>
      </c>
      <c r="B18" s="17" t="s">
        <v>176</v>
      </c>
      <c r="C18" s="17" t="s">
        <v>52</v>
      </c>
      <c r="D18" s="17" t="s">
        <v>177</v>
      </c>
      <c r="E18" s="17" t="s">
        <v>178</v>
      </c>
      <c r="F18" s="17" t="s">
        <v>7</v>
      </c>
      <c r="G18" s="18" t="s">
        <v>179</v>
      </c>
      <c r="H18" s="16">
        <f>VLOOKUP(A18,'[1]Entry'!$BS$2:$BV$51,4,FALSE)</f>
        <v>4</v>
      </c>
      <c r="I18" s="16" t="s">
        <v>13</v>
      </c>
      <c r="J18" s="16"/>
      <c r="K18" s="16" t="s">
        <v>13</v>
      </c>
      <c r="L18" s="16" t="s">
        <v>13</v>
      </c>
      <c r="M18" s="8">
        <v>0.003034722222222222</v>
      </c>
      <c r="N18" s="8">
        <v>0.00975</v>
      </c>
      <c r="O18" s="10">
        <f>4400/864000</f>
        <v>0.005092592592592593</v>
      </c>
      <c r="P18" s="8">
        <v>0.009353009259259259</v>
      </c>
      <c r="Q18" s="8">
        <v>0.0029560185185185184</v>
      </c>
      <c r="R18" s="8">
        <v>0.00942013888888889</v>
      </c>
      <c r="S18" s="8"/>
      <c r="T18" s="8"/>
      <c r="U18" s="8"/>
      <c r="V18" s="8"/>
      <c r="W18" s="8"/>
      <c r="X18" s="8"/>
      <c r="Y18" s="19"/>
      <c r="Z18" s="8"/>
      <c r="AA18" s="8"/>
      <c r="AB18" s="8"/>
    </row>
    <row r="19" spans="1:28" s="6" customFormat="1" ht="12">
      <c r="A19" s="16">
        <v>15</v>
      </c>
      <c r="B19" s="17" t="s">
        <v>61</v>
      </c>
      <c r="C19" s="17" t="s">
        <v>42</v>
      </c>
      <c r="D19" s="17" t="s">
        <v>69</v>
      </c>
      <c r="E19" s="17" t="s">
        <v>82</v>
      </c>
      <c r="F19" s="17" t="s">
        <v>8</v>
      </c>
      <c r="G19" s="18" t="s">
        <v>74</v>
      </c>
      <c r="H19" s="16">
        <f>VLOOKUP(A19,'[1]Entry'!$BS$2:$BV$51,4,FALSE)</f>
        <v>4</v>
      </c>
      <c r="I19" s="16" t="s">
        <v>13</v>
      </c>
      <c r="J19" s="16"/>
      <c r="K19" s="16"/>
      <c r="L19" s="16"/>
      <c r="M19" s="8">
        <v>0.002994212962962963</v>
      </c>
      <c r="N19" s="8">
        <v>0.009677083333333333</v>
      </c>
      <c r="O19" s="10">
        <f>4388/864000</f>
        <v>0.005078703703703703</v>
      </c>
      <c r="P19" s="8">
        <v>0.009298611111111112</v>
      </c>
      <c r="Q19" s="8">
        <v>0.0029525462962962964</v>
      </c>
      <c r="R19" s="8">
        <v>0.009494212962962963</v>
      </c>
      <c r="S19" s="10">
        <f>4324/864000</f>
        <v>0.00500462962962963</v>
      </c>
      <c r="T19" s="10">
        <f>7933/864000</f>
        <v>0.009181712962962963</v>
      </c>
      <c r="U19" s="8">
        <v>0.003923611111111111</v>
      </c>
      <c r="V19" s="8">
        <v>0.005277777777777778</v>
      </c>
      <c r="W19" s="8">
        <v>0.005978009259259259</v>
      </c>
      <c r="X19" s="8">
        <v>0.004142361111111111</v>
      </c>
      <c r="Y19" s="19"/>
      <c r="Z19" s="8">
        <v>0.005097222222222223</v>
      </c>
      <c r="AA19" s="8">
        <v>0.005930555555555555</v>
      </c>
      <c r="AB19" s="8">
        <v>0.003921296296296296</v>
      </c>
    </row>
    <row r="20" spans="1:28" s="6" customFormat="1" ht="12">
      <c r="A20" s="16">
        <v>16</v>
      </c>
      <c r="B20" s="17" t="s">
        <v>93</v>
      </c>
      <c r="C20" s="17" t="s">
        <v>87</v>
      </c>
      <c r="D20" s="17" t="s">
        <v>94</v>
      </c>
      <c r="E20" s="17" t="s">
        <v>95</v>
      </c>
      <c r="F20" s="17" t="s">
        <v>96</v>
      </c>
      <c r="G20" s="18" t="s">
        <v>97</v>
      </c>
      <c r="H20" s="16">
        <f>VLOOKUP(A20,'[1]Entry'!$BS$2:$BV$51,4,FALSE)</f>
        <v>2</v>
      </c>
      <c r="I20" s="16" t="s">
        <v>13</v>
      </c>
      <c r="J20" s="16" t="s">
        <v>13</v>
      </c>
      <c r="K20" s="16"/>
      <c r="L20" s="16"/>
      <c r="M20" s="8">
        <v>0.0030717592592592593</v>
      </c>
      <c r="N20" s="8">
        <v>0.009797453703703704</v>
      </c>
      <c r="O20" s="10">
        <f>4441/864000</f>
        <v>0.005140046296296296</v>
      </c>
      <c r="P20" s="8">
        <v>0.009539351851851853</v>
      </c>
      <c r="Q20" s="8">
        <v>0.0029502314814814816</v>
      </c>
      <c r="R20" s="8">
        <v>0.009471064814814814</v>
      </c>
      <c r="S20" s="10">
        <f>4376/864000</f>
        <v>0.0050648148148148145</v>
      </c>
      <c r="T20" s="10">
        <f>8028/864000</f>
        <v>0.009291666666666667</v>
      </c>
      <c r="U20" s="10">
        <f>3507/864000</f>
        <v>0.004059027777777778</v>
      </c>
      <c r="V20" s="8">
        <v>0.005408564814814815</v>
      </c>
      <c r="W20" s="8">
        <v>0.005997685185185185</v>
      </c>
      <c r="X20" s="8">
        <v>0.004256944444444444</v>
      </c>
      <c r="Y20" s="19"/>
      <c r="Z20" s="8">
        <v>0.0052592592592592595</v>
      </c>
      <c r="AA20" s="8">
        <v>0.005915509259259259</v>
      </c>
      <c r="AB20" s="8">
        <v>0.004105324074074074</v>
      </c>
    </row>
    <row r="21" spans="1:28" s="6" customFormat="1" ht="12">
      <c r="A21" s="16">
        <v>17</v>
      </c>
      <c r="B21" s="17" t="s">
        <v>180</v>
      </c>
      <c r="C21" s="17" t="s">
        <v>181</v>
      </c>
      <c r="D21" s="17" t="s">
        <v>182</v>
      </c>
      <c r="E21" s="17" t="s">
        <v>82</v>
      </c>
      <c r="F21" s="17" t="s">
        <v>8</v>
      </c>
      <c r="G21" s="18" t="s">
        <v>74</v>
      </c>
      <c r="H21" s="16">
        <f>VLOOKUP(A21,'[1]Entry'!$BS$2:$BV$51,4,FALSE)</f>
        <v>4</v>
      </c>
      <c r="I21" s="16" t="s">
        <v>13</v>
      </c>
      <c r="J21" s="16"/>
      <c r="K21" s="16"/>
      <c r="L21" s="16" t="s">
        <v>13</v>
      </c>
      <c r="M21" s="8">
        <v>0.0032604166666666667</v>
      </c>
      <c r="N21" s="8">
        <v>0.010325231481481482</v>
      </c>
      <c r="O21" s="10">
        <f>4675/864000</f>
        <v>0.005410879629629629</v>
      </c>
      <c r="P21" s="8">
        <v>0.009993055555555555</v>
      </c>
      <c r="Q21" s="8">
        <v>0.002931712962962963</v>
      </c>
      <c r="R21" s="8">
        <v>0.01015162037037037</v>
      </c>
      <c r="S21" s="10">
        <f>4606/864000</f>
        <v>0.005331018518518519</v>
      </c>
      <c r="T21" s="10">
        <f>8451/864000</f>
        <v>0.00978125</v>
      </c>
      <c r="U21" s="10">
        <f>3603/864000</f>
        <v>0.004170138888888889</v>
      </c>
      <c r="V21" s="8">
        <v>0.005378472222222222</v>
      </c>
      <c r="W21" s="8">
        <v>0.006518518518518518</v>
      </c>
      <c r="X21" s="8">
        <v>0.004193287037037037</v>
      </c>
      <c r="Y21" s="19"/>
      <c r="Z21" s="8">
        <v>0.0052592592592592595</v>
      </c>
      <c r="AA21" s="8">
        <v>0.006179398148148148</v>
      </c>
      <c r="AB21" s="8">
        <v>0.0040497685185185185</v>
      </c>
    </row>
    <row r="22" spans="1:28" s="6" customFormat="1" ht="12">
      <c r="A22" s="16">
        <v>18</v>
      </c>
      <c r="B22" s="17" t="s">
        <v>183</v>
      </c>
      <c r="C22" s="17" t="s">
        <v>107</v>
      </c>
      <c r="D22" s="17" t="s">
        <v>184</v>
      </c>
      <c r="E22" s="17" t="s">
        <v>185</v>
      </c>
      <c r="F22" s="17" t="s">
        <v>8</v>
      </c>
      <c r="G22" s="18" t="s">
        <v>74</v>
      </c>
      <c r="H22" s="16">
        <f>VLOOKUP(A22,'[1]Entry'!$BS$2:$BV$51,4,FALSE)</f>
        <v>4</v>
      </c>
      <c r="I22" s="16" t="s">
        <v>13</v>
      </c>
      <c r="J22" s="16"/>
      <c r="K22" s="16" t="s">
        <v>13</v>
      </c>
      <c r="L22" s="16" t="s">
        <v>13</v>
      </c>
      <c r="M22" s="8">
        <v>0.003116898148148148</v>
      </c>
      <c r="N22" s="8">
        <v>0.010050925925925927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19"/>
      <c r="Z22" s="8"/>
      <c r="AA22" s="8"/>
      <c r="AB22" s="8"/>
    </row>
    <row r="23" spans="1:28" s="6" customFormat="1" ht="12">
      <c r="A23" s="16">
        <v>19</v>
      </c>
      <c r="B23" s="17" t="s">
        <v>108</v>
      </c>
      <c r="C23" s="17" t="s">
        <v>72</v>
      </c>
      <c r="D23" s="17" t="s">
        <v>109</v>
      </c>
      <c r="E23" s="17" t="s">
        <v>110</v>
      </c>
      <c r="F23" s="17" t="s">
        <v>111</v>
      </c>
      <c r="G23" s="18" t="s">
        <v>112</v>
      </c>
      <c r="H23" s="16">
        <f>VLOOKUP(A23,'[1]Entry'!$BS$2:$BV$51,4,FALSE)</f>
        <v>2</v>
      </c>
      <c r="I23" s="16" t="s">
        <v>13</v>
      </c>
      <c r="J23" s="16" t="s">
        <v>13</v>
      </c>
      <c r="K23" s="16" t="s">
        <v>13</v>
      </c>
      <c r="L23" s="16" t="s">
        <v>13</v>
      </c>
      <c r="M23" s="8">
        <v>0.0031261574074074074</v>
      </c>
      <c r="N23" s="8">
        <v>0.010918981481481481</v>
      </c>
      <c r="O23" s="10">
        <f>4666/864000</f>
        <v>0.005400462962962963</v>
      </c>
      <c r="P23" s="8">
        <v>0.009854166666666667</v>
      </c>
      <c r="Q23" s="8">
        <v>0.0029699074074074072</v>
      </c>
      <c r="R23" s="8">
        <v>0.009721064814814814</v>
      </c>
      <c r="S23" s="8">
        <v>0.0053206018518518515</v>
      </c>
      <c r="T23" s="10">
        <f>8434/864000</f>
        <v>0.009761574074074074</v>
      </c>
      <c r="U23" s="10">
        <f>3548/864000</f>
        <v>0.004106481481481482</v>
      </c>
      <c r="V23" s="8">
        <v>0.005409722222222222</v>
      </c>
      <c r="W23" s="8">
        <v>0.006083333333333333</v>
      </c>
      <c r="X23" s="8">
        <v>0.0043518518518518515</v>
      </c>
      <c r="Y23" s="19"/>
      <c r="Z23" s="8">
        <v>0.005311342592592592</v>
      </c>
      <c r="AA23" s="8">
        <v>0.005951388888888889</v>
      </c>
      <c r="AB23" s="8">
        <v>0.004199074074074074</v>
      </c>
    </row>
    <row r="24" spans="1:28" s="6" customFormat="1" ht="12">
      <c r="A24" s="16">
        <v>20</v>
      </c>
      <c r="B24" s="17" t="s">
        <v>103</v>
      </c>
      <c r="C24" s="17" t="s">
        <v>138</v>
      </c>
      <c r="D24" s="17" t="s">
        <v>186</v>
      </c>
      <c r="E24" s="17" t="s">
        <v>49</v>
      </c>
      <c r="F24" s="17" t="s">
        <v>58</v>
      </c>
      <c r="G24" s="18" t="s">
        <v>71</v>
      </c>
      <c r="H24" s="16">
        <f>VLOOKUP(A24,'[1]Entry'!$BS$2:$BV$51,4,FALSE)</f>
        <v>2</v>
      </c>
      <c r="I24" s="16" t="s">
        <v>13</v>
      </c>
      <c r="J24" s="16" t="s">
        <v>13</v>
      </c>
      <c r="K24" s="16" t="s">
        <v>13</v>
      </c>
      <c r="L24" s="16" t="s">
        <v>13</v>
      </c>
      <c r="M24" s="8">
        <v>0.003384259259259259</v>
      </c>
      <c r="N24" s="8">
        <v>0.010878472222222222</v>
      </c>
      <c r="O24" s="10">
        <f>4972/864000</f>
        <v>0.0057546296296296295</v>
      </c>
      <c r="P24" s="8">
        <v>0.0105625</v>
      </c>
      <c r="Q24" s="8">
        <v>0.003340277777777778</v>
      </c>
      <c r="R24" s="8">
        <v>0.010832175925925926</v>
      </c>
      <c r="S24" s="9">
        <f>6197/864000</f>
        <v>0.0071724537037037035</v>
      </c>
      <c r="T24" s="9">
        <f>11119/864000</f>
        <v>0.012869212962962963</v>
      </c>
      <c r="U24" s="10">
        <f>3859/864000</f>
        <v>0.004466435185185185</v>
      </c>
      <c r="V24" s="8">
        <v>0.005853009259259259</v>
      </c>
      <c r="W24" s="8">
        <v>0.006712962962962963</v>
      </c>
      <c r="X24" s="8">
        <v>0.004666666666666667</v>
      </c>
      <c r="Y24" s="19"/>
      <c r="Z24" s="8">
        <v>0.005913194444444445</v>
      </c>
      <c r="AA24" s="8">
        <v>0.006725694444444445</v>
      </c>
      <c r="AB24" s="8">
        <v>0.004469907407407408</v>
      </c>
    </row>
    <row r="25" spans="1:28" s="6" customFormat="1" ht="12">
      <c r="A25" s="16">
        <v>21</v>
      </c>
      <c r="B25" s="17" t="s">
        <v>100</v>
      </c>
      <c r="C25" s="17" t="s">
        <v>63</v>
      </c>
      <c r="D25" s="17" t="s">
        <v>101</v>
      </c>
      <c r="E25" s="17" t="s">
        <v>35</v>
      </c>
      <c r="F25" s="17" t="s">
        <v>7</v>
      </c>
      <c r="G25" s="18" t="s">
        <v>102</v>
      </c>
      <c r="H25" s="16">
        <f>VLOOKUP(A25,'[1]Entry'!$BS$2:$BV$51,4,FALSE)</f>
        <v>4</v>
      </c>
      <c r="I25" s="16"/>
      <c r="J25" s="16"/>
      <c r="K25" s="16"/>
      <c r="L25" s="16" t="s">
        <v>13</v>
      </c>
      <c r="M25" s="8">
        <v>0.002894675925925926</v>
      </c>
      <c r="N25" s="8">
        <v>0.009314814814814814</v>
      </c>
      <c r="O25" s="10">
        <f>4279/864000</f>
        <v>0.004952546296296296</v>
      </c>
      <c r="P25" s="8">
        <v>0.009094907407407407</v>
      </c>
      <c r="Q25" s="8">
        <v>0.0028425925925925927</v>
      </c>
      <c r="R25" s="8"/>
      <c r="S25" s="8"/>
      <c r="T25" s="8"/>
      <c r="U25" s="8"/>
      <c r="V25" s="8"/>
      <c r="W25" s="8"/>
      <c r="X25" s="8"/>
      <c r="Y25" s="19"/>
      <c r="Z25" s="8"/>
      <c r="AA25" s="8"/>
      <c r="AB25" s="8"/>
    </row>
    <row r="26" spans="1:28" s="6" customFormat="1" ht="12">
      <c r="A26" s="16">
        <v>22</v>
      </c>
      <c r="B26" s="17" t="s">
        <v>100</v>
      </c>
      <c r="C26" s="17" t="s">
        <v>138</v>
      </c>
      <c r="D26" s="17" t="s">
        <v>113</v>
      </c>
      <c r="E26" s="17" t="s">
        <v>114</v>
      </c>
      <c r="F26" s="17" t="s">
        <v>8</v>
      </c>
      <c r="G26" s="18" t="s">
        <v>74</v>
      </c>
      <c r="H26" s="16">
        <f>VLOOKUP(A26,'[1]Entry'!$BS$2:$BV$51,4,FALSE)</f>
        <v>4</v>
      </c>
      <c r="I26" s="16"/>
      <c r="J26" s="16"/>
      <c r="K26" s="16"/>
      <c r="L26" s="16" t="s">
        <v>13</v>
      </c>
      <c r="M26" s="8">
        <v>0.002962962962962963</v>
      </c>
      <c r="N26" s="8">
        <v>0.00933449074074074</v>
      </c>
      <c r="O26" s="10">
        <f>4253/864000</f>
        <v>0.004922453703703704</v>
      </c>
      <c r="P26" s="8">
        <v>0.009068287037037038</v>
      </c>
      <c r="Q26" s="8">
        <v>0.0028425925925925927</v>
      </c>
      <c r="R26" s="8">
        <v>0.00914699074074074</v>
      </c>
      <c r="S26" s="10">
        <f>4191/864000</f>
        <v>0.004850694444444445</v>
      </c>
      <c r="T26" s="10">
        <f>7688/864000</f>
        <v>0.008898148148148148</v>
      </c>
      <c r="U26" s="10">
        <f>3311/864000</f>
        <v>0.003832175925925926</v>
      </c>
      <c r="V26" s="8">
        <v>0.005189814814814815</v>
      </c>
      <c r="W26" s="8">
        <v>0.005753472222222222</v>
      </c>
      <c r="X26" s="8">
        <v>0.0038460648148148147</v>
      </c>
      <c r="Y26" s="19"/>
      <c r="Z26" s="8">
        <v>0.004924768518518518</v>
      </c>
      <c r="AA26" s="8">
        <v>0.005771990740740741</v>
      </c>
      <c r="AB26" s="8">
        <v>0.003769675925925926</v>
      </c>
    </row>
    <row r="27" spans="1:28" s="6" customFormat="1" ht="12">
      <c r="A27" s="16">
        <v>23</v>
      </c>
      <c r="B27" s="17" t="s">
        <v>187</v>
      </c>
      <c r="C27" s="17" t="s">
        <v>118</v>
      </c>
      <c r="D27" s="17" t="s">
        <v>188</v>
      </c>
      <c r="E27" s="17" t="s">
        <v>189</v>
      </c>
      <c r="F27" s="17" t="s">
        <v>8</v>
      </c>
      <c r="G27" s="18" t="s">
        <v>74</v>
      </c>
      <c r="H27" s="16">
        <f>VLOOKUP(A27,'[1]Entry'!$BS$2:$BV$51,4,FALSE)</f>
        <v>4</v>
      </c>
      <c r="I27" s="16"/>
      <c r="J27" s="16"/>
      <c r="K27" s="16"/>
      <c r="L27" s="16" t="s">
        <v>13</v>
      </c>
      <c r="M27" s="8">
        <v>0.0029409722222222224</v>
      </c>
      <c r="N27" s="8">
        <v>0.009549768518518518</v>
      </c>
      <c r="O27" s="10">
        <f>4278/864000</f>
        <v>0.004951388888888889</v>
      </c>
      <c r="P27" s="8">
        <v>0.009072916666666667</v>
      </c>
      <c r="Q27" s="8">
        <v>0.0028310185185185183</v>
      </c>
      <c r="R27" s="8">
        <v>0.009155092592592593</v>
      </c>
      <c r="S27" s="10">
        <f>4215/864000</f>
        <v>0.004878472222222222</v>
      </c>
      <c r="T27" s="10">
        <f>7733/864000</f>
        <v>0.008950231481481481</v>
      </c>
      <c r="U27" s="10">
        <f>3387/864000</f>
        <v>0.003920138888888889</v>
      </c>
      <c r="V27" s="8">
        <v>0.005232638888888889</v>
      </c>
      <c r="W27" s="8">
        <v>0.005894675925925926</v>
      </c>
      <c r="X27" s="8">
        <v>0.003998842592592593</v>
      </c>
      <c r="Y27" s="19"/>
      <c r="Z27" s="8">
        <v>0.005030092592592593</v>
      </c>
      <c r="AA27" s="8">
        <v>0.005614583333333333</v>
      </c>
      <c r="AB27" s="8">
        <v>0.0038229166666666667</v>
      </c>
    </row>
    <row r="28" spans="1:28" s="6" customFormat="1" ht="12">
      <c r="A28" s="16">
        <v>24</v>
      </c>
      <c r="B28" s="17" t="s">
        <v>182</v>
      </c>
      <c r="C28" s="17" t="s">
        <v>40</v>
      </c>
      <c r="D28" s="17" t="s">
        <v>190</v>
      </c>
      <c r="E28" s="17" t="s">
        <v>191</v>
      </c>
      <c r="F28" s="17" t="s">
        <v>6</v>
      </c>
      <c r="G28" s="18" t="s">
        <v>192</v>
      </c>
      <c r="H28" s="16">
        <f>VLOOKUP(A28,'[1]Entry'!$BS$2:$BV$51,4,FALSE)</f>
        <v>2</v>
      </c>
      <c r="I28" s="16"/>
      <c r="J28" s="16"/>
      <c r="K28" s="16"/>
      <c r="L28" s="16" t="s">
        <v>13</v>
      </c>
      <c r="M28" s="8">
        <v>0.0032858796296296295</v>
      </c>
      <c r="N28" s="8">
        <v>0.01034837962962963</v>
      </c>
      <c r="O28" s="10">
        <f>4324/864000</f>
        <v>0.00500462962962963</v>
      </c>
      <c r="P28" s="8">
        <v>0.009935185185185186</v>
      </c>
      <c r="Q28" s="8">
        <v>0.0030277777777777777</v>
      </c>
      <c r="R28" s="8">
        <v>0.010096064814814815</v>
      </c>
      <c r="S28" s="10">
        <f>4610/864000</f>
        <v>0.005335648148148148</v>
      </c>
      <c r="T28" s="10">
        <f>8457/864000</f>
        <v>0.009788194444444445</v>
      </c>
      <c r="U28" s="8"/>
      <c r="V28" s="8"/>
      <c r="W28" s="8"/>
      <c r="X28" s="8"/>
      <c r="Y28" s="19"/>
      <c r="Z28" s="8"/>
      <c r="AA28" s="8"/>
      <c r="AB28" s="8"/>
    </row>
    <row r="29" spans="1:28" s="6" customFormat="1" ht="12">
      <c r="A29" s="16">
        <v>25</v>
      </c>
      <c r="B29" s="17" t="s">
        <v>193</v>
      </c>
      <c r="C29" s="17" t="s">
        <v>194</v>
      </c>
      <c r="D29" s="17" t="s">
        <v>195</v>
      </c>
      <c r="E29" s="17" t="s">
        <v>47</v>
      </c>
      <c r="F29" s="17" t="s">
        <v>8</v>
      </c>
      <c r="G29" s="18" t="s">
        <v>74</v>
      </c>
      <c r="H29" s="16">
        <f>VLOOKUP(A29,'[1]Entry'!$BS$2:$BV$51,4,FALSE)</f>
        <v>4</v>
      </c>
      <c r="I29" s="16"/>
      <c r="J29" s="16"/>
      <c r="K29" s="16"/>
      <c r="L29" s="16" t="s">
        <v>13</v>
      </c>
      <c r="M29" s="8">
        <v>0.00309375</v>
      </c>
      <c r="N29" s="8">
        <v>0.009851851851851851</v>
      </c>
      <c r="O29" s="10">
        <f>4472/864000</f>
        <v>0.005175925925925926</v>
      </c>
      <c r="P29" s="8">
        <v>0.00948263888888889</v>
      </c>
      <c r="Q29" s="8">
        <v>0.003002314814814815</v>
      </c>
      <c r="R29" s="8">
        <v>0.009643518518518518</v>
      </c>
      <c r="S29" s="10">
        <f>4406/864000</f>
        <v>0.005099537037037037</v>
      </c>
      <c r="T29" s="10">
        <f>8084/864000</f>
        <v>0.009356481481481481</v>
      </c>
      <c r="U29" s="10">
        <f>3430/864000</f>
        <v>0.003969907407407407</v>
      </c>
      <c r="V29" s="8">
        <v>0.00525</v>
      </c>
      <c r="W29" s="8">
        <v>0.006023148148148148</v>
      </c>
      <c r="X29" s="8">
        <v>0.004046296296296296</v>
      </c>
      <c r="Y29" s="19"/>
      <c r="Z29" s="8">
        <v>0.005063657407407407</v>
      </c>
      <c r="AA29" s="8">
        <v>0.005890046296296296</v>
      </c>
      <c r="AB29" s="8">
        <v>0.0038576388888888887</v>
      </c>
    </row>
    <row r="30" spans="1:28" s="6" customFormat="1" ht="12">
      <c r="A30" s="16">
        <v>26</v>
      </c>
      <c r="B30" s="17" t="s">
        <v>186</v>
      </c>
      <c r="C30" s="17" t="s">
        <v>47</v>
      </c>
      <c r="D30" s="17" t="s">
        <v>196</v>
      </c>
      <c r="E30" s="17" t="s">
        <v>51</v>
      </c>
      <c r="F30" s="17" t="s">
        <v>8</v>
      </c>
      <c r="G30" s="18" t="s">
        <v>74</v>
      </c>
      <c r="H30" s="16">
        <f>VLOOKUP(A30,'[1]Entry'!$BS$2:$BV$51,4,FALSE)</f>
        <v>4</v>
      </c>
      <c r="I30" s="16"/>
      <c r="J30" s="16"/>
      <c r="K30" s="16"/>
      <c r="L30" s="16" t="s">
        <v>13</v>
      </c>
      <c r="M30" s="8">
        <v>0.002994212962962963</v>
      </c>
      <c r="N30" s="8">
        <v>0.009726851851851851</v>
      </c>
      <c r="O30" s="10">
        <f>4397/864000</f>
        <v>0.005089120370370371</v>
      </c>
      <c r="P30" s="8">
        <v>0.00933449074074074</v>
      </c>
      <c r="Q30" s="8">
        <v>0.002945601851851852</v>
      </c>
      <c r="R30" s="8">
        <v>0.009486111111111112</v>
      </c>
      <c r="S30" s="10">
        <f>4333/864000</f>
        <v>0.005015046296296296</v>
      </c>
      <c r="T30" s="10">
        <f>7949/864000</f>
        <v>0.009200231481481481</v>
      </c>
      <c r="U30" s="10">
        <f>3396/864000</f>
        <v>0.003930555555555555</v>
      </c>
      <c r="V30" s="8">
        <v>0.005193287037037037</v>
      </c>
      <c r="W30" s="8">
        <v>0.005930555555555555</v>
      </c>
      <c r="X30" s="8">
        <v>0.004043981481481482</v>
      </c>
      <c r="Y30" s="19"/>
      <c r="Z30" s="8">
        <v>0.005152777777777778</v>
      </c>
      <c r="AA30" s="8">
        <v>0.005857638888888889</v>
      </c>
      <c r="AB30" s="8">
        <v>0.004063657407407407</v>
      </c>
    </row>
    <row r="31" spans="1:28" s="6" customFormat="1" ht="12">
      <c r="A31" s="16">
        <v>27</v>
      </c>
      <c r="B31" s="17" t="s">
        <v>88</v>
      </c>
      <c r="C31" s="17" t="s">
        <v>89</v>
      </c>
      <c r="D31" s="17" t="s">
        <v>90</v>
      </c>
      <c r="E31" s="17" t="s">
        <v>91</v>
      </c>
      <c r="F31" s="17" t="s">
        <v>6</v>
      </c>
      <c r="G31" s="18" t="s">
        <v>92</v>
      </c>
      <c r="H31" s="16">
        <f>VLOOKUP(A31,'[1]Entry'!$BS$2:$BV$51,4,FALSE)</f>
        <v>2</v>
      </c>
      <c r="I31" s="16"/>
      <c r="J31" s="16"/>
      <c r="K31" s="16"/>
      <c r="L31" s="16" t="s">
        <v>13</v>
      </c>
      <c r="M31" s="8">
        <v>0.0030462962962962965</v>
      </c>
      <c r="N31" s="8">
        <v>0.00990162037037037</v>
      </c>
      <c r="O31" s="10">
        <f>4501/864000</f>
        <v>0.005209490740740741</v>
      </c>
      <c r="P31" s="8">
        <v>0.009738425925925926</v>
      </c>
      <c r="Q31" s="8">
        <v>0.0030081018518518516</v>
      </c>
      <c r="R31" s="8">
        <v>0.009601851851851851</v>
      </c>
      <c r="S31" s="10">
        <f>4434/864000</f>
        <v>0.005131944444444444</v>
      </c>
      <c r="T31" s="10">
        <f>8136/864000</f>
        <v>0.009416666666666667</v>
      </c>
      <c r="U31" s="10">
        <f>3520/864000</f>
        <v>0.004074074074074074</v>
      </c>
      <c r="V31" s="8">
        <v>0.0054918981481481485</v>
      </c>
      <c r="W31" s="8">
        <v>0.006114583333333333</v>
      </c>
      <c r="X31" s="8">
        <v>0.004113425925925926</v>
      </c>
      <c r="Y31" s="19"/>
      <c r="Z31" s="8">
        <v>0.005366898148148148</v>
      </c>
      <c r="AA31" s="8">
        <v>0.006082175925925926</v>
      </c>
      <c r="AB31" s="8">
        <v>0.004040509259259259</v>
      </c>
    </row>
    <row r="32" spans="1:28" s="6" customFormat="1" ht="12">
      <c r="A32" s="16">
        <v>28</v>
      </c>
      <c r="B32" s="17" t="s">
        <v>83</v>
      </c>
      <c r="C32" s="17" t="s">
        <v>84</v>
      </c>
      <c r="D32" s="17" t="s">
        <v>197</v>
      </c>
      <c r="E32" s="17" t="s">
        <v>198</v>
      </c>
      <c r="F32" s="17" t="s">
        <v>8</v>
      </c>
      <c r="G32" s="18" t="s">
        <v>74</v>
      </c>
      <c r="H32" s="16">
        <f>VLOOKUP(A32,'[1]Entry'!$BS$2:$BV$51,4,FALSE)</f>
        <v>4</v>
      </c>
      <c r="I32" s="16"/>
      <c r="J32" s="16"/>
      <c r="K32" s="16"/>
      <c r="L32" s="16" t="s">
        <v>13</v>
      </c>
      <c r="M32" s="8">
        <v>0.002960648148148148</v>
      </c>
      <c r="N32" s="8">
        <v>0.009710648148148149</v>
      </c>
      <c r="O32" s="8"/>
      <c r="P32" s="8"/>
      <c r="Q32" s="8"/>
      <c r="R32" s="8"/>
      <c r="S32" s="8"/>
      <c r="T32" s="8"/>
      <c r="U32" s="10">
        <f>3374/864000</f>
        <v>0.0039050925925925924</v>
      </c>
      <c r="V32" s="8">
        <v>0.0051423611111111114</v>
      </c>
      <c r="W32" s="8">
        <v>0.005895833333333334</v>
      </c>
      <c r="X32" s="8">
        <v>0.004032407407407407</v>
      </c>
      <c r="Y32" s="19"/>
      <c r="Z32" s="8">
        <v>0.005084490740740741</v>
      </c>
      <c r="AA32" s="8">
        <v>0.005881944444444445</v>
      </c>
      <c r="AB32" s="8">
        <v>0.003986111111111111</v>
      </c>
    </row>
    <row r="33" spans="1:28" s="6" customFormat="1" ht="12">
      <c r="A33" s="16">
        <v>29</v>
      </c>
      <c r="B33" s="17" t="s">
        <v>133</v>
      </c>
      <c r="C33" s="17" t="s">
        <v>134</v>
      </c>
      <c r="D33" s="17" t="s">
        <v>135</v>
      </c>
      <c r="E33" s="17" t="s">
        <v>136</v>
      </c>
      <c r="F33" s="17" t="s">
        <v>8</v>
      </c>
      <c r="G33" s="18" t="s">
        <v>74</v>
      </c>
      <c r="H33" s="16">
        <f>VLOOKUP(A33,'[1]Entry'!$BS$2:$BV$51,4,FALSE)</f>
        <v>4</v>
      </c>
      <c r="I33" s="16"/>
      <c r="J33" s="16"/>
      <c r="K33" s="16"/>
      <c r="L33" s="16" t="s">
        <v>13</v>
      </c>
      <c r="M33" s="8">
        <v>0.003172453703703704</v>
      </c>
      <c r="N33" s="8">
        <v>0.010216435185185186</v>
      </c>
      <c r="O33" s="10">
        <f>4661/864000</f>
        <v>0.005394675925925926</v>
      </c>
      <c r="P33" s="8">
        <v>0.010172453703703704</v>
      </c>
      <c r="Q33" s="8"/>
      <c r="R33" s="8"/>
      <c r="S33" s="8"/>
      <c r="T33" s="8"/>
      <c r="U33" s="8"/>
      <c r="V33" s="8"/>
      <c r="W33" s="8"/>
      <c r="X33" s="8"/>
      <c r="Y33" s="19"/>
      <c r="Z33" s="8"/>
      <c r="AA33" s="8"/>
      <c r="AB33" s="8"/>
    </row>
    <row r="34" spans="1:28" s="6" customFormat="1" ht="12">
      <c r="A34" s="16">
        <v>30</v>
      </c>
      <c r="B34" s="17" t="s">
        <v>199</v>
      </c>
      <c r="C34" s="17" t="s">
        <v>35</v>
      </c>
      <c r="D34" s="17" t="s">
        <v>200</v>
      </c>
      <c r="E34" s="17" t="s">
        <v>201</v>
      </c>
      <c r="F34" s="17" t="s">
        <v>7</v>
      </c>
      <c r="G34" s="18" t="s">
        <v>202</v>
      </c>
      <c r="H34" s="16">
        <f>VLOOKUP(A34,'[1]Entry'!$BS$2:$BV$51,4,FALSE)</f>
        <v>4</v>
      </c>
      <c r="I34" s="16"/>
      <c r="J34" s="16"/>
      <c r="K34" s="16"/>
      <c r="L34" s="16" t="s">
        <v>13</v>
      </c>
      <c r="M34" s="8">
        <v>0.0030486111111111113</v>
      </c>
      <c r="N34" s="8">
        <v>0.009681712962962963</v>
      </c>
      <c r="O34" s="10">
        <f>4417/864000</f>
        <v>0.005112268518518519</v>
      </c>
      <c r="P34" s="8">
        <v>0.00949074074074074</v>
      </c>
      <c r="Q34" s="8">
        <v>0.0029988425925925924</v>
      </c>
      <c r="R34" s="8">
        <v>0.009421296296296296</v>
      </c>
      <c r="S34" s="10">
        <f>4352/864000</f>
        <v>0.005037037037037037</v>
      </c>
      <c r="T34" s="10">
        <f>7985/864000</f>
        <v>0.009241898148148148</v>
      </c>
      <c r="U34" s="10">
        <f>3399/864000</f>
        <v>0.003934027777777778</v>
      </c>
      <c r="V34" s="8">
        <v>0.0052037037037037034</v>
      </c>
      <c r="W34" s="8">
        <v>0.005952546296296296</v>
      </c>
      <c r="X34" s="8">
        <v>0.004023148148148148</v>
      </c>
      <c r="Y34" s="19"/>
      <c r="Z34" s="8">
        <v>0.0053055555555555555</v>
      </c>
      <c r="AA34" s="8">
        <v>0.006008101851851852</v>
      </c>
      <c r="AB34" s="8">
        <v>0.0040185185185185185</v>
      </c>
    </row>
    <row r="35" spans="1:28" s="6" customFormat="1" ht="12">
      <c r="A35" s="16">
        <v>31</v>
      </c>
      <c r="B35" s="17" t="s">
        <v>203</v>
      </c>
      <c r="C35" s="17" t="s">
        <v>204</v>
      </c>
      <c r="D35" s="17" t="s">
        <v>36</v>
      </c>
      <c r="E35" s="17" t="s">
        <v>54</v>
      </c>
      <c r="F35" s="17" t="s">
        <v>11</v>
      </c>
      <c r="G35" s="18" t="s">
        <v>34</v>
      </c>
      <c r="H35" s="16">
        <f>VLOOKUP(A35,'[1]Entry'!$BS$2:$BV$51,4,FALSE)</f>
        <v>2</v>
      </c>
      <c r="I35" s="16"/>
      <c r="J35" s="16"/>
      <c r="K35" s="16"/>
      <c r="L35" s="16" t="s">
        <v>13</v>
      </c>
      <c r="M35" s="8">
        <v>0.0033564814814814816</v>
      </c>
      <c r="N35" s="8">
        <v>0.010234953703703704</v>
      </c>
      <c r="O35" s="10">
        <f>4679/864000</f>
        <v>0.00541550925925926</v>
      </c>
      <c r="P35" s="8">
        <v>0.0100625</v>
      </c>
      <c r="Q35" s="8"/>
      <c r="R35" s="8"/>
      <c r="S35" s="8"/>
      <c r="T35" s="8"/>
      <c r="U35" s="10">
        <f>3725/864000</f>
        <v>0.004311342592592592</v>
      </c>
      <c r="V35" s="8">
        <v>0.005893518518518518</v>
      </c>
      <c r="W35" s="8"/>
      <c r="X35" s="8"/>
      <c r="Y35" s="19"/>
      <c r="Z35" s="8"/>
      <c r="AA35" s="8"/>
      <c r="AB35" s="8"/>
    </row>
    <row r="36" spans="1:28" s="6" customFormat="1" ht="12">
      <c r="A36" s="16">
        <v>32</v>
      </c>
      <c r="B36" s="17" t="s">
        <v>65</v>
      </c>
      <c r="C36" s="17" t="s">
        <v>129</v>
      </c>
      <c r="D36" s="17" t="s">
        <v>130</v>
      </c>
      <c r="E36" s="17" t="s">
        <v>131</v>
      </c>
      <c r="F36" s="17" t="s">
        <v>8</v>
      </c>
      <c r="G36" s="18" t="s">
        <v>132</v>
      </c>
      <c r="H36" s="16">
        <f>VLOOKUP(A36,'[1]Entry'!$BS$2:$BV$51,4,FALSE)</f>
        <v>4</v>
      </c>
      <c r="I36" s="16"/>
      <c r="J36" s="16"/>
      <c r="K36" s="16"/>
      <c r="L36" s="16" t="s">
        <v>13</v>
      </c>
      <c r="M36" s="8">
        <v>0.003011574074074074</v>
      </c>
      <c r="N36" s="8">
        <v>0.00969212962962963</v>
      </c>
      <c r="O36" s="10">
        <f>4471/864000</f>
        <v>0.005174768518518519</v>
      </c>
      <c r="P36" s="8">
        <v>0.009447916666666667</v>
      </c>
      <c r="Q36" s="8">
        <v>0.003010416666666667</v>
      </c>
      <c r="R36" s="8">
        <v>0.00990162037037037</v>
      </c>
      <c r="S36" s="10">
        <f>4405/864000</f>
        <v>0.00509837962962963</v>
      </c>
      <c r="T36" s="10">
        <f>8082/864000</f>
        <v>0.009354166666666667</v>
      </c>
      <c r="U36" s="10">
        <f>3467/864000</f>
        <v>0.004012731481481482</v>
      </c>
      <c r="V36" s="8">
        <v>0.005302083333333333</v>
      </c>
      <c r="W36" s="8">
        <v>0.006075231481481482</v>
      </c>
      <c r="X36" s="8">
        <v>0.004105324074074074</v>
      </c>
      <c r="Y36" s="19"/>
      <c r="Z36" s="8">
        <v>0.0052743055555555555</v>
      </c>
      <c r="AA36" s="8">
        <v>0.0059328703703703705</v>
      </c>
      <c r="AB36" s="8">
        <v>0.003983796296296296</v>
      </c>
    </row>
    <row r="37" spans="1:28" s="6" customFormat="1" ht="12">
      <c r="A37" s="16">
        <v>33</v>
      </c>
      <c r="B37" s="17" t="s">
        <v>205</v>
      </c>
      <c r="C37" s="17" t="s">
        <v>116</v>
      </c>
      <c r="D37" s="17" t="s">
        <v>206</v>
      </c>
      <c r="E37" s="17" t="s">
        <v>189</v>
      </c>
      <c r="F37" s="17" t="s">
        <v>5</v>
      </c>
      <c r="G37" s="18" t="s">
        <v>207</v>
      </c>
      <c r="H37" s="16">
        <f>VLOOKUP(A37,'[1]Entry'!$BS$2:$BV$51,4,FALSE)</f>
        <v>2</v>
      </c>
      <c r="I37" s="16"/>
      <c r="J37" s="16"/>
      <c r="K37" s="16"/>
      <c r="L37" s="16" t="s">
        <v>13</v>
      </c>
      <c r="M37" s="8">
        <v>0.0031747685185185186</v>
      </c>
      <c r="N37" s="8">
        <v>0.010006944444444445</v>
      </c>
      <c r="O37" s="10">
        <f>4612/864000</f>
        <v>0.005337962962962963</v>
      </c>
      <c r="P37" s="8">
        <v>0.00983449074074074</v>
      </c>
      <c r="Q37" s="8">
        <v>0.003224537037037037</v>
      </c>
      <c r="R37" s="8">
        <v>0.009928240740740741</v>
      </c>
      <c r="S37" s="10">
        <f>4544/864000</f>
        <v>0.0052592592592592595</v>
      </c>
      <c r="T37" s="10">
        <f>8337/864000</f>
        <v>0.009649305555555555</v>
      </c>
      <c r="U37" s="10">
        <f>3598/864000</f>
        <v>0.004164351851851852</v>
      </c>
      <c r="V37" s="8">
        <v>0.005439814814814815</v>
      </c>
      <c r="W37" s="8">
        <v>0.006275462962962963</v>
      </c>
      <c r="X37" s="8">
        <v>0.00435300925925926</v>
      </c>
      <c r="Y37" s="19"/>
      <c r="Z37" s="8">
        <v>0.005978009259259259</v>
      </c>
      <c r="AA37" s="8">
        <v>0.00612962962962963</v>
      </c>
      <c r="AB37" s="8">
        <v>0.004255787037037037</v>
      </c>
    </row>
    <row r="38" spans="1:28" s="6" customFormat="1" ht="12">
      <c r="A38" s="16">
        <v>34</v>
      </c>
      <c r="B38" s="17" t="s">
        <v>208</v>
      </c>
      <c r="C38" s="17" t="s">
        <v>43</v>
      </c>
      <c r="D38" s="17" t="s">
        <v>209</v>
      </c>
      <c r="E38" s="17" t="s">
        <v>35</v>
      </c>
      <c r="F38" s="17" t="s">
        <v>5</v>
      </c>
      <c r="G38" s="18" t="s">
        <v>210</v>
      </c>
      <c r="H38" s="16">
        <f>VLOOKUP(A38,'[1]Entry'!$BS$2:$BV$51,4,FALSE)</f>
        <v>2</v>
      </c>
      <c r="I38" s="16"/>
      <c r="J38" s="16"/>
      <c r="K38" s="16"/>
      <c r="L38" s="16" t="s">
        <v>13</v>
      </c>
      <c r="M38" s="8">
        <v>0.003034722222222222</v>
      </c>
      <c r="N38" s="8">
        <v>0.010013888888888888</v>
      </c>
      <c r="O38" s="10"/>
      <c r="P38" s="8">
        <v>0.009589120370370371</v>
      </c>
      <c r="Q38" s="8">
        <v>0.003056712962962963</v>
      </c>
      <c r="R38" s="8">
        <v>0.009498842592592593</v>
      </c>
      <c r="S38" s="10">
        <f>4421/864000</f>
        <v>0.005116898148148148</v>
      </c>
      <c r="T38" s="10">
        <f>8112/864000</f>
        <v>0.00938888888888889</v>
      </c>
      <c r="U38" s="8"/>
      <c r="V38" s="8"/>
      <c r="W38" s="8"/>
      <c r="X38" s="8"/>
      <c r="Y38" s="19"/>
      <c r="Z38" s="8"/>
      <c r="AA38" s="8"/>
      <c r="AB38" s="8"/>
    </row>
    <row r="39" spans="1:28" s="6" customFormat="1" ht="12">
      <c r="A39" s="16">
        <v>35</v>
      </c>
      <c r="B39" s="17" t="s">
        <v>211</v>
      </c>
      <c r="C39" s="17" t="s">
        <v>64</v>
      </c>
      <c r="D39" s="17" t="s">
        <v>212</v>
      </c>
      <c r="E39" s="17" t="s">
        <v>77</v>
      </c>
      <c r="F39" s="17" t="s">
        <v>10</v>
      </c>
      <c r="G39" s="18" t="s">
        <v>213</v>
      </c>
      <c r="H39" s="16">
        <f>VLOOKUP(A39,'[1]Entry'!$BS$2:$BV$51,4,FALSE)</f>
        <v>2</v>
      </c>
      <c r="I39" s="16"/>
      <c r="J39" s="16"/>
      <c r="K39" s="16"/>
      <c r="L39" s="16" t="s">
        <v>13</v>
      </c>
      <c r="M39" s="8">
        <v>0.0031944444444444446</v>
      </c>
      <c r="N39" s="8">
        <v>0.010449074074074074</v>
      </c>
      <c r="O39" s="10">
        <f>4653/864000</f>
        <v>0.005385416666666667</v>
      </c>
      <c r="P39" s="8">
        <v>0.02152662037037037</v>
      </c>
      <c r="Q39" s="8">
        <v>0.003079861111111111</v>
      </c>
      <c r="R39" s="8">
        <v>0.010003472222222223</v>
      </c>
      <c r="S39" s="10">
        <f>6062/864000</f>
        <v>0.007016203703703703</v>
      </c>
      <c r="T39" s="10">
        <f>11122/864000</f>
        <v>0.012872685185185185</v>
      </c>
      <c r="U39" s="10">
        <f>3788/864000</f>
        <v>0.00438425925925926</v>
      </c>
      <c r="V39" s="8">
        <v>0.005907407407407407</v>
      </c>
      <c r="W39" s="8">
        <v>0.006469907407407408</v>
      </c>
      <c r="X39" s="8">
        <v>0.0045381944444444445</v>
      </c>
      <c r="Y39" s="19"/>
      <c r="Z39" s="8">
        <v>0.005570601851851852</v>
      </c>
      <c r="AA39" s="8">
        <v>0.006310185185185185</v>
      </c>
      <c r="AB39" s="8">
        <v>0.004488425925925926</v>
      </c>
    </row>
    <row r="40" spans="1:28" s="6" customFormat="1" ht="12">
      <c r="A40" s="16">
        <v>36</v>
      </c>
      <c r="B40" s="17" t="s">
        <v>120</v>
      </c>
      <c r="C40" s="17" t="s">
        <v>121</v>
      </c>
      <c r="D40" s="17" t="s">
        <v>122</v>
      </c>
      <c r="E40" s="17" t="s">
        <v>82</v>
      </c>
      <c r="F40" s="17" t="s">
        <v>6</v>
      </c>
      <c r="G40" s="18" t="s">
        <v>123</v>
      </c>
      <c r="H40" s="16">
        <f>VLOOKUP(A40,'[1]Entry'!$BS$2:$BV$51,4,FALSE)</f>
        <v>2</v>
      </c>
      <c r="I40" s="16"/>
      <c r="J40" s="16"/>
      <c r="K40" s="16"/>
      <c r="L40" s="16" t="s">
        <v>13</v>
      </c>
      <c r="M40" s="8">
        <v>0.0031666666666666666</v>
      </c>
      <c r="N40" s="8">
        <v>0.010085648148148147</v>
      </c>
      <c r="O40" s="10">
        <f>4621/864000</f>
        <v>0.00534837962962963</v>
      </c>
      <c r="P40" s="10">
        <f>8629/864000</f>
        <v>0.009987268518518519</v>
      </c>
      <c r="Q40" s="8">
        <v>0.0031215277777777778</v>
      </c>
      <c r="R40" s="8">
        <v>0.009880787037037037</v>
      </c>
      <c r="S40" s="10">
        <f>4553/864000</f>
        <v>0.005269675925925926</v>
      </c>
      <c r="T40" s="10">
        <f>8354/864000</f>
        <v>0.009668981481481482</v>
      </c>
      <c r="U40" s="10">
        <f>3674/864000</f>
        <v>0.004252314814814815</v>
      </c>
      <c r="V40" s="8">
        <v>0.005679398148148148</v>
      </c>
      <c r="W40" s="8">
        <v>0.006347222222222222</v>
      </c>
      <c r="X40" s="8">
        <v>0.004381944444444444</v>
      </c>
      <c r="Y40" s="19"/>
      <c r="Z40" s="8">
        <v>0.00559375</v>
      </c>
      <c r="AA40" s="8">
        <v>0.006771990740740741</v>
      </c>
      <c r="AB40" s="8">
        <v>0.004240740740740741</v>
      </c>
    </row>
    <row r="41" spans="1:28" s="6" customFormat="1" ht="12">
      <c r="A41" s="16">
        <v>37</v>
      </c>
      <c r="B41" s="17" t="s">
        <v>152</v>
      </c>
      <c r="C41" s="17" t="s">
        <v>99</v>
      </c>
      <c r="D41" s="17" t="s">
        <v>152</v>
      </c>
      <c r="E41" s="17" t="s">
        <v>66</v>
      </c>
      <c r="F41" s="17" t="s">
        <v>58</v>
      </c>
      <c r="G41" s="18" t="s">
        <v>71</v>
      </c>
      <c r="H41" s="16">
        <f>VLOOKUP(A41,'[1]Entry'!$BS$2:$BV$51,4,FALSE)</f>
        <v>2</v>
      </c>
      <c r="I41" s="16"/>
      <c r="J41" s="16"/>
      <c r="K41" s="16"/>
      <c r="L41" s="16" t="s">
        <v>13</v>
      </c>
      <c r="M41" s="8">
        <v>0.00321875</v>
      </c>
      <c r="N41" s="8"/>
      <c r="O41" s="8"/>
      <c r="P41" s="8"/>
      <c r="Q41" s="8"/>
      <c r="R41" s="8"/>
      <c r="S41" s="8"/>
      <c r="T41" s="8"/>
      <c r="U41" s="10">
        <f>3722/864000</f>
        <v>0.004307870370370371</v>
      </c>
      <c r="V41" s="8">
        <v>0.005674768518518518</v>
      </c>
      <c r="W41" s="8">
        <v>0.006505787037037037</v>
      </c>
      <c r="X41" s="8">
        <v>0.0044444444444444444</v>
      </c>
      <c r="Y41" s="19"/>
      <c r="Z41" s="8">
        <v>0.0055613425925925926</v>
      </c>
      <c r="AA41" s="8">
        <v>0.006418981481481481</v>
      </c>
      <c r="AB41" s="8">
        <v>0.004356481481481481</v>
      </c>
    </row>
    <row r="42" spans="1:28" s="6" customFormat="1" ht="12">
      <c r="A42" s="16">
        <v>38</v>
      </c>
      <c r="B42" s="17" t="s">
        <v>115</v>
      </c>
      <c r="C42" s="17" t="s">
        <v>116</v>
      </c>
      <c r="D42" s="17" t="s">
        <v>117</v>
      </c>
      <c r="E42" s="17" t="s">
        <v>118</v>
      </c>
      <c r="F42" s="17" t="s">
        <v>50</v>
      </c>
      <c r="G42" s="18" t="s">
        <v>119</v>
      </c>
      <c r="H42" s="16">
        <f>VLOOKUP(A42,'[1]Entry'!$BS$2:$BV$51,4,FALSE)</f>
        <v>2</v>
      </c>
      <c r="I42" s="16"/>
      <c r="J42" s="16"/>
      <c r="K42" s="16"/>
      <c r="L42" s="16" t="s">
        <v>13</v>
      </c>
      <c r="M42" s="8">
        <v>0.003216435185185185</v>
      </c>
      <c r="N42" s="8">
        <v>0.010133101851851851</v>
      </c>
      <c r="O42" s="10">
        <f>4656/864000</f>
        <v>0.005388888888888889</v>
      </c>
      <c r="P42" s="8">
        <v>0.010105324074074074</v>
      </c>
      <c r="Q42" s="8">
        <v>0.0030925925925925925</v>
      </c>
      <c r="R42" s="8">
        <v>0.009965277777777778</v>
      </c>
      <c r="S42" s="10">
        <f>4587/864000</f>
        <v>0.005309027777777778</v>
      </c>
      <c r="T42" s="10">
        <f>8416/864000</f>
        <v>0.00974074074074074</v>
      </c>
      <c r="U42" s="10">
        <f>3627/864000</f>
        <v>0.004197916666666667</v>
      </c>
      <c r="V42" s="8">
        <v>0.005547453703703704</v>
      </c>
      <c r="W42" s="8">
        <v>0.00633912037037037</v>
      </c>
      <c r="X42" s="8">
        <v>0.004310185185185185</v>
      </c>
      <c r="Y42" s="19"/>
      <c r="Z42" s="8">
        <v>0.005388888888888889</v>
      </c>
      <c r="AA42" s="8">
        <v>0.006150462962962963</v>
      </c>
      <c r="AB42" s="8">
        <v>0.0045532407407407405</v>
      </c>
    </row>
    <row r="43" spans="1:28" s="6" customFormat="1" ht="12">
      <c r="A43" s="16">
        <v>39</v>
      </c>
      <c r="B43" s="17" t="s">
        <v>127</v>
      </c>
      <c r="C43" s="17" t="s">
        <v>60</v>
      </c>
      <c r="D43" s="17" t="s">
        <v>128</v>
      </c>
      <c r="E43" s="17" t="s">
        <v>70</v>
      </c>
      <c r="F43" s="17" t="s">
        <v>8</v>
      </c>
      <c r="G43" s="18" t="s">
        <v>86</v>
      </c>
      <c r="H43" s="16">
        <f>VLOOKUP(A43,'[1]Entry'!$BS$2:$BV$51,4,FALSE)</f>
        <v>4</v>
      </c>
      <c r="I43" s="16"/>
      <c r="J43" s="16"/>
      <c r="K43" s="16"/>
      <c r="L43" s="16" t="s">
        <v>13</v>
      </c>
      <c r="M43" s="8">
        <v>0.003212962962962963</v>
      </c>
      <c r="N43" s="8">
        <v>0.010217592592592592</v>
      </c>
      <c r="O43" s="10">
        <f>4661/864000</f>
        <v>0.005394675925925926</v>
      </c>
      <c r="P43" s="8">
        <v>0.010033564814814815</v>
      </c>
      <c r="Q43" s="8">
        <v>0.0031064814814814813</v>
      </c>
      <c r="R43" s="8">
        <v>0.009983796296296296</v>
      </c>
      <c r="S43" s="10">
        <f>4592/864000</f>
        <v>0.005314814814814815</v>
      </c>
      <c r="T43" s="10">
        <f>8426/864000</f>
        <v>0.009752314814814814</v>
      </c>
      <c r="U43" s="10">
        <f>3581/864000</f>
        <v>0.004144675925925926</v>
      </c>
      <c r="V43" s="8">
        <v>0.0054525462962962965</v>
      </c>
      <c r="W43" s="8">
        <v>0.006224537037037037</v>
      </c>
      <c r="X43" s="8">
        <v>0.004318287037037037</v>
      </c>
      <c r="Y43" s="19"/>
      <c r="Z43" s="8">
        <v>0.005368055555555556</v>
      </c>
      <c r="AA43" s="8">
        <v>0.00621875</v>
      </c>
      <c r="AB43" s="8">
        <v>0.004265046296296296</v>
      </c>
    </row>
    <row r="44" spans="1:28" s="6" customFormat="1" ht="12">
      <c r="A44" s="16">
        <v>40</v>
      </c>
      <c r="B44" s="17" t="s">
        <v>124</v>
      </c>
      <c r="C44" s="17" t="s">
        <v>53</v>
      </c>
      <c r="D44" s="17" t="s">
        <v>125</v>
      </c>
      <c r="E44" s="17" t="s">
        <v>48</v>
      </c>
      <c r="F44" s="17" t="s">
        <v>5</v>
      </c>
      <c r="G44" s="18" t="s">
        <v>126</v>
      </c>
      <c r="H44" s="16">
        <f>VLOOKUP(A44,'[1]Entry'!$BS$2:$BV$51,4,FALSE)</f>
        <v>2</v>
      </c>
      <c r="I44" s="16"/>
      <c r="J44" s="16"/>
      <c r="K44" s="16"/>
      <c r="L44" s="16" t="s">
        <v>13</v>
      </c>
      <c r="M44" s="8">
        <v>0.0032488425925925927</v>
      </c>
      <c r="N44" s="8">
        <v>0.010377314814814815</v>
      </c>
      <c r="O44" s="10">
        <f>4763/864000</f>
        <v>0.005512731481481481</v>
      </c>
      <c r="P44" s="8">
        <v>0.010216435185185186</v>
      </c>
      <c r="Q44" s="8">
        <v>0.0031446759259259258</v>
      </c>
      <c r="R44" s="8">
        <v>0.010366898148148148</v>
      </c>
      <c r="S44" s="10">
        <f>4693/864000</f>
        <v>0.005431712962962963</v>
      </c>
      <c r="T44" s="10">
        <f>8610/864000</f>
        <v>0.009965277777777778</v>
      </c>
      <c r="U44" s="10">
        <f>3692/864000</f>
        <v>0.004273148148148148</v>
      </c>
      <c r="V44" s="8">
        <v>0.0056770833333333335</v>
      </c>
      <c r="W44" s="8">
        <v>0.00646875</v>
      </c>
      <c r="X44" s="8">
        <v>0.004342592592592592</v>
      </c>
      <c r="Y44" s="19"/>
      <c r="Z44" s="8">
        <v>0.005612268518518518</v>
      </c>
      <c r="AA44" s="8">
        <v>0.006315972222222222</v>
      </c>
      <c r="AB44" s="8">
        <v>0.004186342592592592</v>
      </c>
    </row>
    <row r="45" spans="1:28" s="6" customFormat="1" ht="12">
      <c r="A45" s="16">
        <v>41</v>
      </c>
      <c r="B45" s="17" t="s">
        <v>143</v>
      </c>
      <c r="C45" s="17" t="s">
        <v>144</v>
      </c>
      <c r="D45" s="17" t="s">
        <v>145</v>
      </c>
      <c r="E45" s="17" t="s">
        <v>51</v>
      </c>
      <c r="F45" s="17" t="s">
        <v>58</v>
      </c>
      <c r="G45" s="18" t="s">
        <v>71</v>
      </c>
      <c r="H45" s="16">
        <f>VLOOKUP(A45,'[1]Entry'!$BS$2:$BV$51,4,FALSE)</f>
        <v>2</v>
      </c>
      <c r="I45" s="16"/>
      <c r="J45" s="16"/>
      <c r="K45" s="16"/>
      <c r="L45" s="16" t="s">
        <v>13</v>
      </c>
      <c r="M45" s="8">
        <v>0.0034027777777777776</v>
      </c>
      <c r="N45" s="8">
        <v>0.010438657407407407</v>
      </c>
      <c r="O45" s="10">
        <f>4818/864000</f>
        <v>0.0055763888888888885</v>
      </c>
      <c r="P45" s="8">
        <v>0.010219907407407407</v>
      </c>
      <c r="Q45" s="8">
        <v>0.0032847222222222223</v>
      </c>
      <c r="R45" s="8">
        <v>0.0104375</v>
      </c>
      <c r="S45" s="10">
        <f>4747/864000</f>
        <v>0.005494212962962963</v>
      </c>
      <c r="T45" s="10">
        <f>8709/864000</f>
        <v>0.01007986111111111</v>
      </c>
      <c r="U45" s="10">
        <f>3657/864000</f>
        <v>0.004232638888888889</v>
      </c>
      <c r="V45" s="8">
        <v>0.005650462962962963</v>
      </c>
      <c r="W45" s="8">
        <v>0.006326388888888889</v>
      </c>
      <c r="X45" s="8">
        <v>0.004356481481481481</v>
      </c>
      <c r="Y45" s="19"/>
      <c r="Z45" s="8">
        <v>0.005640046296296297</v>
      </c>
      <c r="AA45" s="8">
        <v>0.006385416666666667</v>
      </c>
      <c r="AB45" s="8">
        <v>0.004363425925925926</v>
      </c>
    </row>
    <row r="46" spans="1:28" s="6" customFormat="1" ht="12">
      <c r="A46" s="16">
        <v>42</v>
      </c>
      <c r="B46" s="17" t="s">
        <v>140</v>
      </c>
      <c r="C46" s="17" t="s">
        <v>35</v>
      </c>
      <c r="D46" s="17" t="s">
        <v>141</v>
      </c>
      <c r="E46" s="17" t="s">
        <v>142</v>
      </c>
      <c r="F46" s="17" t="s">
        <v>11</v>
      </c>
      <c r="G46" s="18">
        <v>1600</v>
      </c>
      <c r="H46" s="16">
        <f>VLOOKUP(A46,'[1]Entry'!$BS$2:$BV$51,4,FALSE)</f>
        <v>2</v>
      </c>
      <c r="I46" s="16"/>
      <c r="J46" s="16"/>
      <c r="K46" s="16"/>
      <c r="L46" s="16" t="s">
        <v>13</v>
      </c>
      <c r="M46" s="8">
        <v>0.0032314814814814814</v>
      </c>
      <c r="N46" s="8">
        <v>0.010385416666666666</v>
      </c>
      <c r="O46" s="10">
        <f>4802/864000</f>
        <v>0.00555787037037037</v>
      </c>
      <c r="P46" s="8">
        <v>0.010342592592592592</v>
      </c>
      <c r="Q46" s="8">
        <v>0.003298611111111111</v>
      </c>
      <c r="R46" s="8">
        <v>0.010402777777777778</v>
      </c>
      <c r="S46" s="10">
        <f>4731/864000</f>
        <v>0.0054756944444444445</v>
      </c>
      <c r="T46" s="10">
        <f>8680/864000</f>
        <v>0.010046296296296296</v>
      </c>
      <c r="U46" s="10">
        <f>3783/864000</f>
        <v>0.004378472222222222</v>
      </c>
      <c r="V46" s="8">
        <v>0.005732638888888889</v>
      </c>
      <c r="W46" s="8">
        <v>0.0066307870370370375</v>
      </c>
      <c r="X46" s="8">
        <v>0.0045300925925925925</v>
      </c>
      <c r="Y46" s="19"/>
      <c r="Z46" s="8">
        <v>0.005791666666666666</v>
      </c>
      <c r="AA46" s="8">
        <v>0.0065625</v>
      </c>
      <c r="AB46" s="8">
        <v>0.004388888888888889</v>
      </c>
    </row>
    <row r="47" spans="1:28" s="6" customFormat="1" ht="12">
      <c r="A47" s="16">
        <v>43</v>
      </c>
      <c r="B47" s="17" t="s">
        <v>214</v>
      </c>
      <c r="C47" s="17" t="s">
        <v>215</v>
      </c>
      <c r="D47" s="17" t="s">
        <v>216</v>
      </c>
      <c r="E47" s="17" t="s">
        <v>217</v>
      </c>
      <c r="F47" s="17" t="s">
        <v>10</v>
      </c>
      <c r="G47" s="18" t="s">
        <v>213</v>
      </c>
      <c r="H47" s="16">
        <f>VLOOKUP(A47,'[1]Entry'!$BS$2:$BV$51,4,FALSE)</f>
        <v>2</v>
      </c>
      <c r="I47" s="16"/>
      <c r="J47" s="16"/>
      <c r="K47" s="16"/>
      <c r="L47" s="16" t="s">
        <v>13</v>
      </c>
      <c r="M47" s="8">
        <v>0.018309027777777778</v>
      </c>
      <c r="N47" s="9">
        <f>11219/864000</f>
        <v>0.012984953703703703</v>
      </c>
      <c r="O47" s="9">
        <f>5791/864000</f>
        <v>0.006702546296296297</v>
      </c>
      <c r="P47" s="9">
        <f>11085/864000</f>
        <v>0.012829861111111111</v>
      </c>
      <c r="Q47" s="8">
        <v>0.007039351851851852</v>
      </c>
      <c r="R47" s="8">
        <v>0.010253472222222223</v>
      </c>
      <c r="S47" s="10">
        <f>4747/864000</f>
        <v>0.005494212962962963</v>
      </c>
      <c r="T47" s="10">
        <f>8559/864000</f>
        <v>0.00990625</v>
      </c>
      <c r="U47" s="10">
        <f>3597/864000</f>
        <v>0.004163194444444444</v>
      </c>
      <c r="V47" s="8">
        <v>0.005626157407407407</v>
      </c>
      <c r="W47" s="8">
        <v>0.0062743055555555555</v>
      </c>
      <c r="X47" s="8">
        <v>0.004164351851851852</v>
      </c>
      <c r="Y47" s="19"/>
      <c r="Z47" s="8">
        <v>0.005418981481481481</v>
      </c>
      <c r="AA47" s="8">
        <v>0.006199074074074074</v>
      </c>
      <c r="AB47" s="8">
        <v>0.004167824074074074</v>
      </c>
    </row>
    <row r="48" spans="1:28" s="6" customFormat="1" ht="12">
      <c r="A48" s="16">
        <v>44</v>
      </c>
      <c r="B48" s="17" t="s">
        <v>150</v>
      </c>
      <c r="C48" s="17" t="s">
        <v>151</v>
      </c>
      <c r="D48" s="17" t="s">
        <v>149</v>
      </c>
      <c r="E48" s="17" t="s">
        <v>35</v>
      </c>
      <c r="F48" s="17" t="s">
        <v>58</v>
      </c>
      <c r="G48" s="18" t="s">
        <v>71</v>
      </c>
      <c r="H48" s="16">
        <f>VLOOKUP(A48,'[1]Entry'!$BS$2:$BV$51,4,FALSE)</f>
        <v>2</v>
      </c>
      <c r="I48" s="16"/>
      <c r="J48" s="16"/>
      <c r="K48" s="16"/>
      <c r="L48" s="16" t="s">
        <v>13</v>
      </c>
      <c r="M48" s="8">
        <v>0.003546296296296296</v>
      </c>
      <c r="N48" s="8">
        <v>0.012098379629629629</v>
      </c>
      <c r="O48" s="10">
        <f>5564/864000</f>
        <v>0.006439814814814815</v>
      </c>
      <c r="P48" s="8">
        <v>0.012482638888888889</v>
      </c>
      <c r="Q48" s="8">
        <v>0.0036631944444444446</v>
      </c>
      <c r="R48" s="8"/>
      <c r="S48" s="8"/>
      <c r="T48" s="8"/>
      <c r="U48" s="10">
        <f>3996/864000</f>
        <v>0.004625</v>
      </c>
      <c r="V48" s="8">
        <v>0.006106481481481482</v>
      </c>
      <c r="W48" s="8">
        <v>0.006857638888888889</v>
      </c>
      <c r="X48" s="8">
        <v>0.004883101851851852</v>
      </c>
      <c r="Y48" s="19"/>
      <c r="Z48" s="8">
        <v>0.006106481481481482</v>
      </c>
      <c r="AA48" s="8">
        <v>0.006854166666666666</v>
      </c>
      <c r="AB48" s="8">
        <v>0.004644675925925926</v>
      </c>
    </row>
    <row r="49" spans="1:28" s="6" customFormat="1" ht="12">
      <c r="A49" s="16">
        <v>45</v>
      </c>
      <c r="B49" s="17" t="s">
        <v>139</v>
      </c>
      <c r="C49" s="17" t="s">
        <v>68</v>
      </c>
      <c r="D49" s="17" t="s">
        <v>85</v>
      </c>
      <c r="E49" s="17" t="s">
        <v>169</v>
      </c>
      <c r="F49" s="17" t="s">
        <v>37</v>
      </c>
      <c r="G49" s="18" t="s">
        <v>218</v>
      </c>
      <c r="H49" s="16">
        <f>VLOOKUP(A49,'[1]Entry'!$BS$2:$BV$51,4,FALSE)</f>
        <v>2</v>
      </c>
      <c r="I49" s="16"/>
      <c r="J49" s="16"/>
      <c r="K49" s="16"/>
      <c r="L49" s="16" t="s">
        <v>13</v>
      </c>
      <c r="M49" s="8">
        <v>0.0035474537037037037</v>
      </c>
      <c r="N49" s="8">
        <v>0.010890046296296297</v>
      </c>
      <c r="O49" s="10">
        <f>4417/864000</f>
        <v>0.005112268518518519</v>
      </c>
      <c r="P49" s="8">
        <v>0.010563657407407407</v>
      </c>
      <c r="Q49" s="8">
        <v>0.0034004629629629628</v>
      </c>
      <c r="R49" s="8">
        <v>0.01072337962962963</v>
      </c>
      <c r="S49" s="10">
        <f>4915/864000</f>
        <v>0.005688657407407407</v>
      </c>
      <c r="T49" s="10">
        <f>9017/864000</f>
        <v>0.010436342592592593</v>
      </c>
      <c r="U49" s="10">
        <f>3886/864000</f>
        <v>0.004497685185185185</v>
      </c>
      <c r="V49" s="8">
        <v>0.0059641203703703705</v>
      </c>
      <c r="W49" s="8">
        <v>0.006859953703703704</v>
      </c>
      <c r="X49" s="8">
        <v>0.00453125</v>
      </c>
      <c r="Y49" s="19"/>
      <c r="Z49" s="8">
        <v>0.00594212962962963</v>
      </c>
      <c r="AA49" s="8">
        <v>0.006755787037037037</v>
      </c>
      <c r="AB49" s="8">
        <v>0.004423611111111111</v>
      </c>
    </row>
    <row r="50" spans="1:28" s="6" customFormat="1" ht="12">
      <c r="A50" s="16">
        <v>46</v>
      </c>
      <c r="B50" s="17" t="s">
        <v>147</v>
      </c>
      <c r="C50" s="17" t="s">
        <v>148</v>
      </c>
      <c r="D50" s="17" t="s">
        <v>147</v>
      </c>
      <c r="E50" s="17" t="s">
        <v>72</v>
      </c>
      <c r="F50" s="17" t="s">
        <v>58</v>
      </c>
      <c r="G50" s="18" t="s">
        <v>71</v>
      </c>
      <c r="H50" s="16">
        <f>VLOOKUP(A50,'[1]Entry'!$BS$2:$BV$51,4,FALSE)</f>
        <v>2</v>
      </c>
      <c r="I50" s="16"/>
      <c r="J50" s="16"/>
      <c r="K50" s="16"/>
      <c r="L50" s="16" t="s">
        <v>13</v>
      </c>
      <c r="M50" s="8">
        <v>0.003638888888888889</v>
      </c>
      <c r="N50" s="8">
        <v>0.011344907407407408</v>
      </c>
      <c r="O50" s="10">
        <f>5243/864000</f>
        <v>0.006068287037037037</v>
      </c>
      <c r="P50" s="8">
        <v>0.011268518518518518</v>
      </c>
      <c r="Q50" s="8">
        <v>0.0036030092592592594</v>
      </c>
      <c r="R50" s="8">
        <v>0.011266203703703704</v>
      </c>
      <c r="S50" s="10">
        <f>5166/864000</f>
        <v>0.0059791666666666665</v>
      </c>
      <c r="T50" s="10">
        <f>9478/864000</f>
        <v>0.010969907407407407</v>
      </c>
      <c r="U50" s="10">
        <f>4068/864000</f>
        <v>0.0047083333333333335</v>
      </c>
      <c r="V50" s="8">
        <v>0.006269675925925926</v>
      </c>
      <c r="W50" s="8">
        <v>0.007236111111111111</v>
      </c>
      <c r="X50" s="8">
        <v>0.004660879629629629</v>
      </c>
      <c r="Y50" s="19"/>
      <c r="Z50" s="8">
        <v>0.006167824074074074</v>
      </c>
      <c r="AA50" s="8">
        <v>0.007239583333333333</v>
      </c>
      <c r="AB50" s="8">
        <v>0.004717592592592593</v>
      </c>
    </row>
    <row r="51" spans="1:28" s="6" customFormat="1" ht="12">
      <c r="A51" s="16">
        <v>47</v>
      </c>
      <c r="B51" s="17" t="s">
        <v>219</v>
      </c>
      <c r="C51" s="17" t="s">
        <v>220</v>
      </c>
      <c r="D51" s="17" t="s">
        <v>221</v>
      </c>
      <c r="E51" s="17" t="s">
        <v>105</v>
      </c>
      <c r="F51" s="17" t="s">
        <v>58</v>
      </c>
      <c r="G51" s="18" t="s">
        <v>71</v>
      </c>
      <c r="H51" s="16">
        <f>VLOOKUP(A51,'[1]Entry'!$BS$2:$BV$51,4,FALSE)</f>
        <v>2</v>
      </c>
      <c r="I51" s="16"/>
      <c r="J51" s="16"/>
      <c r="K51" s="16"/>
      <c r="L51" s="16" t="s">
        <v>13</v>
      </c>
      <c r="M51" s="8">
        <v>0.0036493055555555554</v>
      </c>
      <c r="N51" s="8">
        <v>0.011140046296296295</v>
      </c>
      <c r="O51" s="10">
        <f>5186/864000</f>
        <v>0.0060023148148148145</v>
      </c>
      <c r="P51" s="8">
        <v>0.011315972222222222</v>
      </c>
      <c r="Q51" s="8">
        <v>0.0035613425925925925</v>
      </c>
      <c r="R51" s="8">
        <v>0.011008101851851852</v>
      </c>
      <c r="S51" s="10">
        <f>5110/864000</f>
        <v>0.005914351851851852</v>
      </c>
      <c r="T51" s="10">
        <f>9375/864000</f>
        <v>0.010850694444444444</v>
      </c>
      <c r="U51" s="10">
        <f>4096/864000</f>
        <v>0.004740740740740741</v>
      </c>
      <c r="V51" s="8">
        <v>0.0059953703703703705</v>
      </c>
      <c r="W51" s="8">
        <v>0.007089120370370371</v>
      </c>
      <c r="X51" s="8">
        <v>0.005207175925925926</v>
      </c>
      <c r="Y51" s="19"/>
      <c r="Z51" s="8">
        <v>0.005966435185185185</v>
      </c>
      <c r="AA51" s="8">
        <v>0.006871527777777778</v>
      </c>
      <c r="AB51" s="8">
        <v>0.00462037037037037</v>
      </c>
    </row>
    <row r="52" spans="1:28" s="6" customFormat="1" ht="12">
      <c r="A52" s="16">
        <v>48</v>
      </c>
      <c r="B52" s="17" t="s">
        <v>137</v>
      </c>
      <c r="C52" s="17" t="s">
        <v>222</v>
      </c>
      <c r="D52" s="17" t="s">
        <v>146</v>
      </c>
      <c r="E52" s="17" t="s">
        <v>223</v>
      </c>
      <c r="F52" s="17" t="s">
        <v>58</v>
      </c>
      <c r="G52" s="18" t="s">
        <v>71</v>
      </c>
      <c r="H52" s="16">
        <f>VLOOKUP(A52,'[1]Entry'!$BS$2:$BV$51,4,FALSE)</f>
        <v>2</v>
      </c>
      <c r="I52" s="16"/>
      <c r="J52" s="16"/>
      <c r="K52" s="16"/>
      <c r="L52" s="16" t="s">
        <v>13</v>
      </c>
      <c r="M52" s="8">
        <v>0.00378125</v>
      </c>
      <c r="N52" s="8">
        <v>0.011841435185185186</v>
      </c>
      <c r="O52" s="10">
        <f>5491/864000</f>
        <v>0.006355324074074074</v>
      </c>
      <c r="P52" s="8">
        <v>0.01186111111111111</v>
      </c>
      <c r="Q52" s="8">
        <v>0.0037210648148148146</v>
      </c>
      <c r="R52" s="8">
        <v>0.01186111111111111</v>
      </c>
      <c r="S52" s="10">
        <f>5411/864000</f>
        <v>0.006262731481481481</v>
      </c>
      <c r="T52" s="10">
        <f>9927/864000</f>
        <v>0.011489583333333333</v>
      </c>
      <c r="U52" s="10">
        <f>4161/864000</f>
        <v>0.004815972222222222</v>
      </c>
      <c r="V52" s="8">
        <v>0.0063125</v>
      </c>
      <c r="W52" s="8">
        <v>0.007417824074074074</v>
      </c>
      <c r="X52" s="8">
        <v>0.004855324074074074</v>
      </c>
      <c r="Y52" s="19"/>
      <c r="Z52" s="8">
        <v>0.0062592592592592596</v>
      </c>
      <c r="AA52" s="8">
        <v>0.007394675925925926</v>
      </c>
      <c r="AB52" s="8">
        <v>0.004821759259259259</v>
      </c>
    </row>
    <row r="53" spans="1:28" s="6" customFormat="1" ht="12">
      <c r="A53" s="16">
        <v>49</v>
      </c>
      <c r="B53" s="17" t="s">
        <v>224</v>
      </c>
      <c r="C53" s="17" t="s">
        <v>225</v>
      </c>
      <c r="D53" s="17" t="s">
        <v>226</v>
      </c>
      <c r="E53" s="17" t="s">
        <v>67</v>
      </c>
      <c r="F53" s="17" t="s">
        <v>58</v>
      </c>
      <c r="G53" s="18" t="s">
        <v>71</v>
      </c>
      <c r="H53" s="16">
        <f>VLOOKUP(A53,'[1]Entry'!$BS$2:$BV$51,4,FALSE)</f>
        <v>2</v>
      </c>
      <c r="I53" s="16"/>
      <c r="J53" s="16"/>
      <c r="K53" s="16"/>
      <c r="L53" s="16" t="s">
        <v>13</v>
      </c>
      <c r="M53" s="8">
        <v>0.003503472222222222</v>
      </c>
      <c r="N53" s="8">
        <v>0.010909722222222222</v>
      </c>
      <c r="O53" s="10">
        <f>5011/864000</f>
        <v>0.005799768518518518</v>
      </c>
      <c r="P53" s="8">
        <v>0.010701388888888889</v>
      </c>
      <c r="Q53" s="8">
        <v>0.0034328703703703704</v>
      </c>
      <c r="R53" s="8">
        <v>0.010748842592592593</v>
      </c>
      <c r="S53" s="10">
        <f>4937/864000</f>
        <v>0.00571412037037037</v>
      </c>
      <c r="T53" s="10">
        <f>9058/864000</f>
        <v>0.010483796296296297</v>
      </c>
      <c r="U53" s="10">
        <f>3798/864000</f>
        <v>0.004395833333333333</v>
      </c>
      <c r="V53" s="8">
        <v>0.005672453703703704</v>
      </c>
      <c r="W53" s="8">
        <v>0.0066921296296296295</v>
      </c>
      <c r="X53" s="8">
        <v>0.004594907407407408</v>
      </c>
      <c r="Y53" s="19"/>
      <c r="Z53" s="8">
        <v>0.005751157407407407</v>
      </c>
      <c r="AA53" s="8">
        <v>0.006278935185185185</v>
      </c>
      <c r="AB53" s="8">
        <v>0.004438657407407408</v>
      </c>
    </row>
    <row r="54" spans="1:28" s="6" customFormat="1" ht="12">
      <c r="A54" s="16">
        <v>50</v>
      </c>
      <c r="B54" s="17" t="s">
        <v>227</v>
      </c>
      <c r="C54" s="17" t="s">
        <v>228</v>
      </c>
      <c r="D54" s="17" t="s">
        <v>229</v>
      </c>
      <c r="E54" s="17" t="s">
        <v>230</v>
      </c>
      <c r="F54" s="17" t="s">
        <v>6</v>
      </c>
      <c r="G54" s="18" t="s">
        <v>62</v>
      </c>
      <c r="H54" s="16">
        <f>VLOOKUP(A54,'[1]Entry'!$BS$2:$BV$51,4,FALSE)</f>
        <v>2</v>
      </c>
      <c r="I54" s="16" t="s">
        <v>13</v>
      </c>
      <c r="J54" s="16" t="s">
        <v>13</v>
      </c>
      <c r="K54" s="16" t="s">
        <v>13</v>
      </c>
      <c r="L54" s="16"/>
      <c r="M54" s="8">
        <v>0.004371527777777778</v>
      </c>
      <c r="N54" s="8">
        <v>0.013091435185185185</v>
      </c>
      <c r="O54" s="10">
        <f>5985/864000</f>
        <v>0.006927083333333334</v>
      </c>
      <c r="P54" s="8">
        <v>0.012402777777777778</v>
      </c>
      <c r="Q54" s="8">
        <v>0.004060185185185185</v>
      </c>
      <c r="R54" s="8">
        <v>0.013011574074074075</v>
      </c>
      <c r="S54" s="10">
        <f>5897/864000</f>
        <v>0.006825231481481482</v>
      </c>
      <c r="T54" s="10">
        <f>10819/864000</f>
        <v>0.012521990740740742</v>
      </c>
      <c r="U54" s="10">
        <f>4456/864000</f>
        <v>0.005157407407407407</v>
      </c>
      <c r="V54" s="8">
        <v>0.006925925925925926</v>
      </c>
      <c r="W54" s="8">
        <v>0.007789351851851852</v>
      </c>
      <c r="X54" s="8">
        <v>0.005185185185185185</v>
      </c>
      <c r="Y54" s="19"/>
      <c r="Z54" s="8">
        <v>0.006792824074074074</v>
      </c>
      <c r="AA54" s="8">
        <v>0.0077465277777777775</v>
      </c>
      <c r="AB54" s="8">
        <v>0.00531712962962963</v>
      </c>
    </row>
    <row r="55" spans="1:28" s="6" customFormat="1" ht="12">
      <c r="A55" s="16">
        <v>51</v>
      </c>
      <c r="B55" s="17" t="s">
        <v>231</v>
      </c>
      <c r="C55" s="17" t="s">
        <v>53</v>
      </c>
      <c r="D55" s="17" t="s">
        <v>232</v>
      </c>
      <c r="E55" s="17" t="s">
        <v>233</v>
      </c>
      <c r="F55" s="17" t="s">
        <v>5</v>
      </c>
      <c r="G55" s="18" t="s">
        <v>234</v>
      </c>
      <c r="H55" s="16">
        <f>VLOOKUP(A55,'[1]Entry'!$BS$2:$BV$51,4,FALSE)</f>
        <v>2</v>
      </c>
      <c r="I55" s="16"/>
      <c r="J55" s="16"/>
      <c r="K55" s="16"/>
      <c r="L55" s="16" t="s">
        <v>13</v>
      </c>
      <c r="M55" s="8">
        <v>0.0033587962962962964</v>
      </c>
      <c r="N55" s="8">
        <v>0.010163194444444445</v>
      </c>
      <c r="O55" s="9">
        <f>5791/864000</f>
        <v>0.006702546296296297</v>
      </c>
      <c r="P55" s="9">
        <f>11085/864000</f>
        <v>0.012829861111111111</v>
      </c>
      <c r="Q55" s="8">
        <v>0.003140046296296296</v>
      </c>
      <c r="R55" s="8">
        <v>0.009734953703703704</v>
      </c>
      <c r="S55" s="8"/>
      <c r="T55" s="8"/>
      <c r="U55" s="10">
        <f>3606/864000</f>
        <v>0.0041736111111111114</v>
      </c>
      <c r="V55" s="8">
        <v>0.005501157407407408</v>
      </c>
      <c r="W55" s="8">
        <v>0.00622337962962963</v>
      </c>
      <c r="X55" s="8">
        <v>0.004381944444444444</v>
      </c>
      <c r="Y55" s="19"/>
      <c r="Z55" s="8">
        <v>0.006391203703703704</v>
      </c>
      <c r="AA55" s="8">
        <v>0.006138888888888889</v>
      </c>
      <c r="AB55" s="8">
        <v>0.004157407407407407</v>
      </c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</dc:creator>
  <cp:keywords/>
  <dc:description/>
  <cp:lastModifiedBy>Garry Searle</cp:lastModifiedBy>
  <cp:lastPrinted>2014-08-03T09:58:47Z</cp:lastPrinted>
  <dcterms:created xsi:type="dcterms:W3CDTF">2014-04-07T11:51:37Z</dcterms:created>
  <dcterms:modified xsi:type="dcterms:W3CDTF">2018-03-07T03:11:56Z</dcterms:modified>
  <cp:category/>
  <cp:version/>
  <cp:contentType/>
  <cp:contentStatus/>
</cp:coreProperties>
</file>