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8445" activeTab="0"/>
  </bookViews>
  <sheets>
    <sheet name="StageTimes_N" sheetId="1" r:id="rId1"/>
  </sheets>
  <definedNames/>
  <calcPr fullCalcOnLoad="1"/>
</workbook>
</file>

<file path=xl/sharedStrings.xml><?xml version="1.0" encoding="utf-8"?>
<sst xmlns="http://schemas.openxmlformats.org/spreadsheetml/2006/main" count="293" uniqueCount="202">
  <si>
    <t>Driver</t>
  </si>
  <si>
    <t>CoDriver</t>
  </si>
  <si>
    <t>Make</t>
  </si>
  <si>
    <t>Model</t>
  </si>
  <si>
    <t>SMART</t>
  </si>
  <si>
    <t>ALLEN</t>
  </si>
  <si>
    <t>Toyota</t>
  </si>
  <si>
    <t>Corolla Sportivo</t>
  </si>
  <si>
    <t>EVANS</t>
  </si>
  <si>
    <t>WESTON</t>
  </si>
  <si>
    <t>Honda</t>
  </si>
  <si>
    <t>Civic Type R</t>
  </si>
  <si>
    <t>DOWEL</t>
  </si>
  <si>
    <t>LEE</t>
  </si>
  <si>
    <t>Mitsubishi</t>
  </si>
  <si>
    <t>Lancer Evo IX</t>
  </si>
  <si>
    <t>SHEPHEARD</t>
  </si>
  <si>
    <t>MCCARTHY</t>
  </si>
  <si>
    <t>Lancer Evo X</t>
  </si>
  <si>
    <t>PEDDER</t>
  </si>
  <si>
    <t>TIERNEY</t>
  </si>
  <si>
    <t>KNOWLES</t>
  </si>
  <si>
    <t>BRUINSMA</t>
  </si>
  <si>
    <t>WHITE</t>
  </si>
  <si>
    <t>Holden</t>
  </si>
  <si>
    <t>Commodore VE SS</t>
  </si>
  <si>
    <t>VLAD</t>
  </si>
  <si>
    <t>NICOLI</t>
  </si>
  <si>
    <t>Ford</t>
  </si>
  <si>
    <t>Fiesta ST</t>
  </si>
  <si>
    <t>PAGE</t>
  </si>
  <si>
    <t>BAKER-SCHAEFER</t>
  </si>
  <si>
    <t>Lancer Evo VI</t>
  </si>
  <si>
    <t>HYNES</t>
  </si>
  <si>
    <t>PERCIVAL</t>
  </si>
  <si>
    <t>Subaru</t>
  </si>
  <si>
    <t>Impreza WRX</t>
  </si>
  <si>
    <t>ANDERSON</t>
  </si>
  <si>
    <t>SEARCY</t>
  </si>
  <si>
    <t>MACARA</t>
  </si>
  <si>
    <t>BLACK</t>
  </si>
  <si>
    <t>Lancer Evo III</t>
  </si>
  <si>
    <t>STONE</t>
  </si>
  <si>
    <t>DRURY</t>
  </si>
  <si>
    <t>Impreza WRX STI</t>
  </si>
  <si>
    <t>REYNOLDS</t>
  </si>
  <si>
    <t>BAKER</t>
  </si>
  <si>
    <t>Lancer Evo V</t>
  </si>
  <si>
    <t>BUTCHER</t>
  </si>
  <si>
    <t>PHILLIP-CLARKE</t>
  </si>
  <si>
    <t>MILES</t>
  </si>
  <si>
    <t>GOODMAN</t>
  </si>
  <si>
    <t>MACDONALD</t>
  </si>
  <si>
    <t>BROOM</t>
  </si>
  <si>
    <t>Impreza RS</t>
  </si>
  <si>
    <t>DOUGLAS</t>
  </si>
  <si>
    <t>BURTON</t>
  </si>
  <si>
    <t>Commodore VS-SS</t>
  </si>
  <si>
    <t>WILDE</t>
  </si>
  <si>
    <t>Impreza WRX Sti</t>
  </si>
  <si>
    <t>RODDA</t>
  </si>
  <si>
    <t>PIRISTI</t>
  </si>
  <si>
    <t>DRAKE</t>
  </si>
  <si>
    <t>HARRIOTT</t>
  </si>
  <si>
    <t>Lancer Evo VIII</t>
  </si>
  <si>
    <t>ORDERS</t>
  </si>
  <si>
    <t>CALDER</t>
  </si>
  <si>
    <t>Nissan</t>
  </si>
  <si>
    <t>Silvia S13</t>
  </si>
  <si>
    <t>ALLAN</t>
  </si>
  <si>
    <t>Bluebird</t>
  </si>
  <si>
    <t>FLANAGAN</t>
  </si>
  <si>
    <t>ABETZ</t>
  </si>
  <si>
    <t>Sunny</t>
  </si>
  <si>
    <t>BOX</t>
  </si>
  <si>
    <t>Ridden</t>
  </si>
  <si>
    <t>WHITTLE</t>
  </si>
  <si>
    <t>DOE</t>
  </si>
  <si>
    <t>WRIGHT</t>
  </si>
  <si>
    <t>DE BOER</t>
  </si>
  <si>
    <t>Datsun</t>
  </si>
  <si>
    <t>1200 Coupe</t>
  </si>
  <si>
    <t>PUGH</t>
  </si>
  <si>
    <t>HELM</t>
  </si>
  <si>
    <t>Escort Mk II RS</t>
  </si>
  <si>
    <t>LEATT-HAYTER</t>
  </si>
  <si>
    <t>ADAMS</t>
  </si>
  <si>
    <t>Escort</t>
  </si>
  <si>
    <t>DAVIES</t>
  </si>
  <si>
    <t>O'DOWD</t>
  </si>
  <si>
    <t>LLOYD</t>
  </si>
  <si>
    <t>LOKE</t>
  </si>
  <si>
    <t>CLINTON</t>
  </si>
  <si>
    <t>HUMPHRIES</t>
  </si>
  <si>
    <t>STAMPFLI</t>
  </si>
  <si>
    <t>Daihatsu</t>
  </si>
  <si>
    <t>Charade Detomaso</t>
  </si>
  <si>
    <t>PUZEY</t>
  </si>
  <si>
    <t>Mirage</t>
  </si>
  <si>
    <t>WILLIAMS</t>
  </si>
  <si>
    <t>Celica</t>
  </si>
  <si>
    <t>RALLI</t>
  </si>
  <si>
    <t>RUSSELL</t>
  </si>
  <si>
    <t>Hyundai</t>
  </si>
  <si>
    <t>Lantra</t>
  </si>
  <si>
    <t>SNADDON</t>
  </si>
  <si>
    <t>DRUMMOND</t>
  </si>
  <si>
    <t>Corolla FXGT</t>
  </si>
  <si>
    <t>SPIGHT</t>
  </si>
  <si>
    <t>Impreza WRX Hatch</t>
  </si>
  <si>
    <t>LIST</t>
  </si>
  <si>
    <t>HARRIS</t>
  </si>
  <si>
    <t>Galant VR4</t>
  </si>
  <si>
    <t>IRIKS</t>
  </si>
  <si>
    <t>VAN DER MEY</t>
  </si>
  <si>
    <t>MCILROY</t>
  </si>
  <si>
    <t>HARPER</t>
  </si>
  <si>
    <t>MEZ</t>
  </si>
  <si>
    <t>MACKINLAY</t>
  </si>
  <si>
    <t>FLOYD</t>
  </si>
  <si>
    <t>Mirage Asti</t>
  </si>
  <si>
    <t>KING</t>
  </si>
  <si>
    <t>HANNIGAN</t>
  </si>
  <si>
    <t>FLOOD</t>
  </si>
  <si>
    <t>Lancer</t>
  </si>
  <si>
    <t>LOWTHER</t>
  </si>
  <si>
    <t>TEAPE</t>
  </si>
  <si>
    <t>Corolla</t>
  </si>
  <si>
    <t>VASS</t>
  </si>
  <si>
    <t>MEREDITH</t>
  </si>
  <si>
    <t>WAITE</t>
  </si>
  <si>
    <t>WADE</t>
  </si>
  <si>
    <t>CHUDLEIGH</t>
  </si>
  <si>
    <t>Excel</t>
  </si>
  <si>
    <t>PAUS</t>
  </si>
  <si>
    <t>REID</t>
  </si>
  <si>
    <t>STEWART</t>
  </si>
  <si>
    <t>LOWE</t>
  </si>
  <si>
    <t>PEARL</t>
  </si>
  <si>
    <t>Commodore</t>
  </si>
  <si>
    <t>THOMPSON</t>
  </si>
  <si>
    <t>SANDERS</t>
  </si>
  <si>
    <t>Ford Falcon</t>
  </si>
  <si>
    <t>XY GT</t>
  </si>
  <si>
    <t>WILLIAMSON</t>
  </si>
  <si>
    <t>Yamaha</t>
  </si>
  <si>
    <t>WR450</t>
  </si>
  <si>
    <t>HEUCHAN</t>
  </si>
  <si>
    <t>Husaberg</t>
  </si>
  <si>
    <t>FE570</t>
  </si>
  <si>
    <t>GRABHAM</t>
  </si>
  <si>
    <t>RICHARD</t>
  </si>
  <si>
    <t>KTM</t>
  </si>
  <si>
    <t>530EXC</t>
  </si>
  <si>
    <t>MAKIN</t>
  </si>
  <si>
    <t>WRF</t>
  </si>
  <si>
    <t>CONNELL</t>
  </si>
  <si>
    <t>HORTON</t>
  </si>
  <si>
    <t>WRF250F</t>
  </si>
  <si>
    <t>PRATLEY</t>
  </si>
  <si>
    <t>525EXC</t>
  </si>
  <si>
    <t>EBBERS</t>
  </si>
  <si>
    <t>450EXC</t>
  </si>
  <si>
    <t>YOUNG</t>
  </si>
  <si>
    <t>XC 525</t>
  </si>
  <si>
    <t>TRIBBICK</t>
  </si>
  <si>
    <t>Honda Quad</t>
  </si>
  <si>
    <t>TRX 450R</t>
  </si>
  <si>
    <t>Da SILVA</t>
  </si>
  <si>
    <t>Raptor</t>
  </si>
  <si>
    <t>McKINLEY</t>
  </si>
  <si>
    <t>KTM Quad</t>
  </si>
  <si>
    <t>505SX</t>
  </si>
  <si>
    <t>TIEDTKE</t>
  </si>
  <si>
    <t>Can am</t>
  </si>
  <si>
    <t>Renegade</t>
  </si>
  <si>
    <t>Van KANN</t>
  </si>
  <si>
    <t>Polaris</t>
  </si>
  <si>
    <t>525 IRS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</si>
  <si>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</si>
  <si>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</si>
  <si>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</si>
  <si>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</si>
  <si>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</si>
  <si>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</si>
  <si>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</si>
  <si>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</si>
  <si>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</si>
  <si>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</si>
  <si>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</si>
  <si>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</si>
  <si>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</si>
  <si>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</si>
  <si>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</si>
  <si>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</si>
  <si>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</si>
  <si>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</si>
  <si>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</si>
  <si>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</si>
  <si>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Car No</t>
  </si>
  <si>
    <t>Allocated Time</t>
  </si>
  <si>
    <t>Stage Length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</si>
</sst>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hh:mm:ss"/>
    <numFmt numFmtId="166" formatCode="h:mm:ss"/>
    <numFmt numFmtId="167" formatCode="[$-C09]dddd\,\ d\ mmmm\ yyyy"/>
    <numFmt numFmtId="168" formatCode="h:mm:ss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/>
      </left>
      <right>
        <color indexed="63"/>
      </right>
      <top style="medium">
        <color theme="8"/>
      </top>
      <bottom>
        <color indexed="63"/>
      </bottom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68" fontId="0" fillId="33" borderId="10" xfId="0" applyNumberFormat="1" applyFont="1" applyFill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34" borderId="11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0" fillId="34" borderId="0" xfId="0" applyFill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38" fillId="0" borderId="0" xfId="0" applyFont="1" applyAlignment="1">
      <alignment/>
    </xf>
    <xf numFmtId="0" fontId="35" fillId="35" borderId="13" xfId="0" applyFont="1" applyFill="1" applyBorder="1" applyAlignment="1">
      <alignment/>
    </xf>
    <xf numFmtId="0" fontId="35" fillId="35" borderId="1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600075</xdr:colOff>
      <xdr:row>5</xdr:row>
      <xdr:rowOff>76200</xdr:rowOff>
    </xdr:to>
    <xdr:pic>
      <xdr:nvPicPr>
        <xdr:cNvPr id="1" name="Picture 80" descr="2011A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57150</xdr:rowOff>
    </xdr:from>
    <xdr:to>
      <xdr:col>8</xdr:col>
      <xdr:colOff>485775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715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104775</xdr:rowOff>
    </xdr:from>
    <xdr:to>
      <xdr:col>6</xdr:col>
      <xdr:colOff>361950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0" y="104775"/>
          <a:ext cx="39243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QUIT Forest Rally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 Times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79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6.8515625" style="5" customWidth="1"/>
    <col min="2" max="3" width="12.8515625" style="0" customWidth="1"/>
    <col min="4" max="4" width="12.57421875" style="0" bestFit="1" customWidth="1"/>
    <col min="5" max="5" width="19.140625" style="0" bestFit="1" customWidth="1"/>
    <col min="16" max="16" width="2.421875" style="0" customWidth="1"/>
  </cols>
  <sheetData>
    <row r="1" ht="15"/>
    <row r="2" ht="15"/>
    <row r="3" ht="15"/>
    <row r="4" spans="11:12" ht="15">
      <c r="K4" s="21" t="s">
        <v>200</v>
      </c>
      <c r="L4" s="21"/>
    </row>
    <row r="5" ht="15"/>
    <row r="6" ht="15"/>
    <row r="7" spans="1:26" s="25" customFormat="1" ht="15.75">
      <c r="A7" s="22" t="s">
        <v>199</v>
      </c>
      <c r="B7" s="23" t="s">
        <v>0</v>
      </c>
      <c r="C7" s="23" t="s">
        <v>1</v>
      </c>
      <c r="D7" s="23" t="s">
        <v>2</v>
      </c>
      <c r="E7" s="23" t="s">
        <v>3</v>
      </c>
      <c r="F7" s="24" t="s">
        <v>179</v>
      </c>
      <c r="G7" s="24" t="s">
        <v>180</v>
      </c>
      <c r="H7" s="24" t="s">
        <v>181</v>
      </c>
      <c r="I7" s="24" t="s">
        <v>182</v>
      </c>
      <c r="J7" s="24" t="s">
        <v>183</v>
      </c>
      <c r="K7" s="24" t="s">
        <v>184</v>
      </c>
      <c r="L7" s="24" t="s">
        <v>185</v>
      </c>
      <c r="M7" s="24" t="s">
        <v>186</v>
      </c>
      <c r="N7" s="24" t="s">
        <v>187</v>
      </c>
      <c r="O7" s="24" t="s">
        <v>188</v>
      </c>
      <c r="P7" s="23"/>
      <c r="Q7" s="24" t="s">
        <v>189</v>
      </c>
      <c r="R7" s="24" t="s">
        <v>190</v>
      </c>
      <c r="S7" s="24" t="s">
        <v>191</v>
      </c>
      <c r="T7" s="24" t="s">
        <v>192</v>
      </c>
      <c r="U7" s="24" t="s">
        <v>193</v>
      </c>
      <c r="V7" s="24" t="s">
        <v>194</v>
      </c>
      <c r="W7" s="24" t="s">
        <v>195</v>
      </c>
      <c r="X7" s="24" t="s">
        <v>196</v>
      </c>
      <c r="Y7" s="24" t="s">
        <v>197</v>
      </c>
      <c r="Z7" s="24" t="s">
        <v>198</v>
      </c>
    </row>
    <row r="8" spans="1:26" ht="15.75" thickBot="1">
      <c r="A8" s="19"/>
      <c r="B8" s="20"/>
      <c r="C8" s="20"/>
      <c r="D8" s="20"/>
      <c r="E8" s="26" t="s">
        <v>201</v>
      </c>
      <c r="F8" s="27">
        <v>2.16</v>
      </c>
      <c r="G8" s="27">
        <v>2.16</v>
      </c>
      <c r="H8" s="27">
        <v>11.4</v>
      </c>
      <c r="I8" s="27">
        <v>24.3</v>
      </c>
      <c r="J8" s="27">
        <v>14.5</v>
      </c>
      <c r="K8" s="27">
        <v>10.67</v>
      </c>
      <c r="L8" s="27">
        <v>11.4</v>
      </c>
      <c r="M8" s="27">
        <v>24.3</v>
      </c>
      <c r="N8" s="27">
        <v>0.85</v>
      </c>
      <c r="O8" s="27">
        <v>0.85</v>
      </c>
      <c r="P8" s="26"/>
      <c r="Q8" s="27">
        <v>2.16</v>
      </c>
      <c r="R8" s="27">
        <v>2.16</v>
      </c>
      <c r="S8" s="27">
        <v>19.07</v>
      </c>
      <c r="T8" s="27">
        <v>8.87</v>
      </c>
      <c r="U8" s="27">
        <v>10.61</v>
      </c>
      <c r="V8" s="27">
        <v>14.5</v>
      </c>
      <c r="W8" s="27">
        <v>19.07</v>
      </c>
      <c r="X8" s="27">
        <v>10.61</v>
      </c>
      <c r="Y8" s="27">
        <v>8.87</v>
      </c>
      <c r="Z8" s="27">
        <v>15.71</v>
      </c>
    </row>
    <row r="9" spans="1:26" ht="15">
      <c r="A9" s="6">
        <v>2</v>
      </c>
      <c r="B9" s="1" t="s">
        <v>4</v>
      </c>
      <c r="C9" s="1" t="s">
        <v>5</v>
      </c>
      <c r="D9" s="1" t="s">
        <v>6</v>
      </c>
      <c r="E9" s="11" t="s">
        <v>7</v>
      </c>
      <c r="F9" s="15">
        <f>965/864000</f>
        <v>0.0011168981481481481</v>
      </c>
      <c r="G9" s="15">
        <f>965/864000</f>
        <v>0.0011168981481481481</v>
      </c>
      <c r="H9" s="15">
        <f>4169/864000</f>
        <v>0.0048252314814814816</v>
      </c>
      <c r="I9" s="15">
        <f>9752/864000</f>
        <v>0.011287037037037036</v>
      </c>
      <c r="J9" s="15">
        <f>5350/864000</f>
        <v>0.00619212962962963</v>
      </c>
      <c r="K9" s="15">
        <f>3946/864000</f>
        <v>0.004567129629629629</v>
      </c>
      <c r="L9" s="15">
        <f>4096/864000</f>
        <v>0.004740740740740741</v>
      </c>
      <c r="M9" s="15">
        <f>9699/864000</f>
        <v>0.011225694444444444</v>
      </c>
      <c r="N9" s="15">
        <f>430/864000</f>
        <v>0.0004976851851851852</v>
      </c>
      <c r="O9" s="15">
        <f>425/864000</f>
        <v>0.0004918981481481481</v>
      </c>
      <c r="P9" s="15"/>
      <c r="Q9" s="15">
        <f>972/864000</f>
        <v>0.001125</v>
      </c>
      <c r="R9" s="15">
        <f>967/864000</f>
        <v>0.001119212962962963</v>
      </c>
      <c r="S9" s="15">
        <f>6826/864000</f>
        <v>0.007900462962962963</v>
      </c>
      <c r="T9" s="15">
        <f>3311/864000</f>
        <v>0.003832175925925926</v>
      </c>
      <c r="U9" s="15">
        <f>3710/864000</f>
        <v>0.004293981481481481</v>
      </c>
      <c r="V9" s="15">
        <f>5145/864000</f>
        <v>0.005954861111111111</v>
      </c>
      <c r="W9" s="15">
        <f>6675/864000</f>
        <v>0.007725694444444445</v>
      </c>
      <c r="X9" s="15">
        <f>3678/864000</f>
        <v>0.004256944444444444</v>
      </c>
      <c r="Y9" s="15">
        <f>3187/864000</f>
        <v>0.0036886574074074074</v>
      </c>
      <c r="Z9" s="15">
        <f>5347/864000</f>
        <v>0.0061886574074074075</v>
      </c>
    </row>
    <row r="10" spans="1:26" ht="15">
      <c r="A10" s="7">
        <v>3</v>
      </c>
      <c r="B10" s="2" t="s">
        <v>8</v>
      </c>
      <c r="C10" s="2" t="s">
        <v>9</v>
      </c>
      <c r="D10" s="2" t="s">
        <v>10</v>
      </c>
      <c r="E10" s="12" t="s">
        <v>11</v>
      </c>
      <c r="F10" s="16">
        <f>948/864000</f>
        <v>0.0010972222222222223</v>
      </c>
      <c r="G10" s="16">
        <f>963/864000</f>
        <v>0.0011145833333333333</v>
      </c>
      <c r="H10" s="16">
        <f>4270/864000</f>
        <v>0.00494212962962963</v>
      </c>
      <c r="I10" s="16">
        <f>10199/864000</f>
        <v>0.011804398148148149</v>
      </c>
      <c r="J10" s="16">
        <f>5559/864000</f>
        <v>0.006434027777777778</v>
      </c>
      <c r="K10" s="16">
        <f>4004/864000</f>
        <v>0.004634259259259259</v>
      </c>
      <c r="L10" s="16">
        <f>4147/864000</f>
        <v>0.004799768518518518</v>
      </c>
      <c r="M10" s="16">
        <f>10062/864000</f>
        <v>0.011645833333333333</v>
      </c>
      <c r="N10" s="16">
        <f>457/864000</f>
        <v>0.0005289351851851852</v>
      </c>
      <c r="O10" s="16">
        <f>447/864000</f>
        <v>0.0005173611111111111</v>
      </c>
      <c r="P10" s="16"/>
      <c r="Q10" s="16">
        <f>963/864000</f>
        <v>0.0011145833333333333</v>
      </c>
      <c r="R10" s="16">
        <f>1116/864000</f>
        <v>0.0012916666666666667</v>
      </c>
      <c r="S10" s="16">
        <f>7047/864000</f>
        <v>0.00815625</v>
      </c>
      <c r="T10" s="16">
        <f>3444/864000</f>
        <v>0.003986111111111111</v>
      </c>
      <c r="U10" s="16">
        <f>3763/864000</f>
        <v>0.004355324074074074</v>
      </c>
      <c r="V10" s="16">
        <f>5357/864000</f>
        <v>0.006200231481481482</v>
      </c>
      <c r="W10" s="16">
        <f>50533/864000</f>
        <v>0.05848726851851852</v>
      </c>
      <c r="X10" s="17">
        <f>4831/864000</f>
        <v>0.005591435185185185</v>
      </c>
      <c r="Y10" s="17">
        <f>4744/864000</f>
        <v>0.0054907407407407405</v>
      </c>
      <c r="Z10" s="17">
        <f>9882/864000</f>
        <v>0.0114375</v>
      </c>
    </row>
    <row r="11" spans="1:26" ht="15">
      <c r="A11" s="8">
        <v>4</v>
      </c>
      <c r="B11" s="3" t="s">
        <v>12</v>
      </c>
      <c r="C11" s="3" t="s">
        <v>13</v>
      </c>
      <c r="D11" s="3" t="s">
        <v>14</v>
      </c>
      <c r="E11" s="13" t="s">
        <v>15</v>
      </c>
      <c r="F11" s="18">
        <f>940/864000</f>
        <v>0.0010879629629629629</v>
      </c>
      <c r="G11" s="18">
        <f>934/864000</f>
        <v>0.0010810185185185185</v>
      </c>
      <c r="H11" s="18">
        <f>4217/864000</f>
        <v>0.004880787037037037</v>
      </c>
      <c r="I11" s="18">
        <f>9973/864000</f>
        <v>0.011542824074074073</v>
      </c>
      <c r="J11" s="18">
        <f>5480/864000</f>
        <v>0.006342592592592592</v>
      </c>
      <c r="K11" s="18">
        <f>3917/864000</f>
        <v>0.004533564814814815</v>
      </c>
      <c r="L11" s="18">
        <f>4102/864000</f>
        <v>0.0047476851851851855</v>
      </c>
      <c r="M11" s="18">
        <f>9847/864000</f>
        <v>0.01139699074074074</v>
      </c>
      <c r="N11" s="18">
        <f>435/864000</f>
        <v>0.0005034722222222222</v>
      </c>
      <c r="O11" s="18">
        <f>420/864000</f>
        <v>0.0004861111111111111</v>
      </c>
      <c r="P11" s="18"/>
      <c r="Q11" s="18">
        <f>942/864000</f>
        <v>0.0010902777777777777</v>
      </c>
      <c r="R11" s="18">
        <f>942/864000</f>
        <v>0.0010902777777777777</v>
      </c>
      <c r="S11" s="18">
        <f>7053/864000</f>
        <v>0.008163194444444445</v>
      </c>
      <c r="T11" s="18">
        <f>3302/864000</f>
        <v>0.003821759259259259</v>
      </c>
      <c r="U11" s="18">
        <f>3721/864000</f>
        <v>0.004306712962962963</v>
      </c>
      <c r="V11" s="18">
        <f>5218/864000</f>
        <v>0.006039351851851852</v>
      </c>
      <c r="W11" s="18">
        <f>6750/864000</f>
        <v>0.0078125</v>
      </c>
      <c r="X11" s="18">
        <f>3615/864000</f>
        <v>0.004184027777777778</v>
      </c>
      <c r="Y11" s="18">
        <f>3177/864000</f>
        <v>0.0036770833333333334</v>
      </c>
      <c r="Z11" s="18">
        <f>5328/864000</f>
        <v>0.006166666666666667</v>
      </c>
    </row>
    <row r="12" spans="1:26" ht="15">
      <c r="A12" s="7">
        <v>5</v>
      </c>
      <c r="B12" s="2" t="s">
        <v>16</v>
      </c>
      <c r="C12" s="2" t="s">
        <v>17</v>
      </c>
      <c r="D12" s="2" t="s">
        <v>14</v>
      </c>
      <c r="E12" s="12" t="s">
        <v>18</v>
      </c>
      <c r="F12" s="16">
        <f>920/864000</f>
        <v>0.0010648148148148149</v>
      </c>
      <c r="G12" s="16">
        <f>933/864000</f>
        <v>0.001079861111111111</v>
      </c>
      <c r="H12" s="16">
        <f>4175/864000</f>
        <v>0.0048321759259259255</v>
      </c>
      <c r="I12" s="16">
        <f>9917/864000</f>
        <v>0.011478009259259259</v>
      </c>
      <c r="J12" s="16">
        <f>14641/864000</f>
        <v>0.01694560185185185</v>
      </c>
      <c r="K12" s="16">
        <f>3947/864000</f>
        <v>0.004568287037037037</v>
      </c>
      <c r="L12" s="16">
        <f>4378/864000</f>
        <v>0.00506712962962963</v>
      </c>
      <c r="M12" s="16">
        <f>10718/864000</f>
        <v>0.012405092592592593</v>
      </c>
      <c r="N12" s="16">
        <f>591/864000</f>
        <v>0.0006840277777777778</v>
      </c>
      <c r="O12" s="16">
        <f>600/864000</f>
        <v>0.0006944444444444445</v>
      </c>
      <c r="P12" s="16"/>
      <c r="Q12" s="16">
        <f>933/864000</f>
        <v>0.001079861111111111</v>
      </c>
      <c r="R12" s="16">
        <f>927/864000</f>
        <v>0.0010729166666666667</v>
      </c>
      <c r="S12" s="16">
        <f>7036/864000</f>
        <v>0.008143518518518519</v>
      </c>
      <c r="T12" s="16"/>
      <c r="U12" s="16"/>
      <c r="V12" s="16"/>
      <c r="W12" s="16"/>
      <c r="X12" s="16"/>
      <c r="Y12" s="16"/>
      <c r="Z12" s="16"/>
    </row>
    <row r="13" spans="1:26" ht="15">
      <c r="A13" s="8">
        <v>7</v>
      </c>
      <c r="B13" s="3" t="s">
        <v>19</v>
      </c>
      <c r="C13" s="3" t="s">
        <v>20</v>
      </c>
      <c r="D13" s="3" t="s">
        <v>14</v>
      </c>
      <c r="E13" s="13" t="s">
        <v>15</v>
      </c>
      <c r="F13" s="18">
        <f>945/864000</f>
        <v>0.00109375</v>
      </c>
      <c r="G13" s="18">
        <f>955/864000</f>
        <v>0.001105324074074074</v>
      </c>
      <c r="H13" s="18">
        <f>4250/864000</f>
        <v>0.004918981481481482</v>
      </c>
      <c r="I13" s="18">
        <f>9811/864000</f>
        <v>0.011355324074074073</v>
      </c>
      <c r="J13" s="18">
        <f>5415/864000</f>
        <v>0.006267361111111111</v>
      </c>
      <c r="K13" s="18">
        <f>3963/864000</f>
        <v>0.004586805555555556</v>
      </c>
      <c r="L13" s="18">
        <f>4136/864000</f>
        <v>0.004787037037037037</v>
      </c>
      <c r="M13" s="18">
        <f>9776/864000</f>
        <v>0.011314814814814814</v>
      </c>
      <c r="N13" s="18">
        <f>436/864000</f>
        <v>0.0005046296296296296</v>
      </c>
      <c r="O13" s="18">
        <f>434/864000</f>
        <v>0.0005023148148148148</v>
      </c>
      <c r="P13" s="18"/>
      <c r="Q13" s="18">
        <f>949/864000</f>
        <v>0.0010983796296296297</v>
      </c>
      <c r="R13" s="18">
        <f>939/864000</f>
        <v>0.0010868055555555555</v>
      </c>
      <c r="S13" s="18">
        <f>6995/864000</f>
        <v>0.008096064814814815</v>
      </c>
      <c r="T13" s="18">
        <f>3324/864000</f>
        <v>0.0038472222222222224</v>
      </c>
      <c r="U13" s="18">
        <f>3673/864000</f>
        <v>0.0042511574074074075</v>
      </c>
      <c r="V13" s="18">
        <f>5251/864000</f>
        <v>0.006077546296296296</v>
      </c>
      <c r="W13" s="18">
        <f>6733/864000</f>
        <v>0.007792824074074074</v>
      </c>
      <c r="X13" s="18">
        <f>3608/864000</f>
        <v>0.004175925925925926</v>
      </c>
      <c r="Y13" s="18">
        <f>3221/864000</f>
        <v>0.0037280092592592595</v>
      </c>
      <c r="Z13" s="18">
        <f>5326/864000</f>
        <v>0.006164351851851852</v>
      </c>
    </row>
    <row r="14" spans="1:26" ht="15">
      <c r="A14" s="7">
        <v>10</v>
      </c>
      <c r="B14" s="2" t="s">
        <v>21</v>
      </c>
      <c r="C14" s="2" t="s">
        <v>21</v>
      </c>
      <c r="D14" s="2" t="s">
        <v>6</v>
      </c>
      <c r="E14" s="12" t="s">
        <v>7</v>
      </c>
      <c r="F14" s="16">
        <f>1017/864000</f>
        <v>0.0011770833333333334</v>
      </c>
      <c r="G14" s="16">
        <f>1002/864000</f>
        <v>0.0011597222222222221</v>
      </c>
      <c r="H14" s="16">
        <f>4583/864000</f>
        <v>0.005304398148148148</v>
      </c>
      <c r="I14" s="16">
        <f>11220/864000</f>
        <v>0.012986111111111111</v>
      </c>
      <c r="J14" s="16">
        <f>5960/864000</f>
        <v>0.006898148148148148</v>
      </c>
      <c r="K14" s="16">
        <f>4336/864000</f>
        <v>0.0050185185185185185</v>
      </c>
      <c r="L14" s="16">
        <f>4581/864000</f>
        <v>0.005302083333333333</v>
      </c>
      <c r="M14" s="16">
        <f>10866/864000</f>
        <v>0.012576388888888889</v>
      </c>
      <c r="N14" s="16">
        <f>462/864000</f>
        <v>0.0005347222222222222</v>
      </c>
      <c r="O14" s="16">
        <f>454/864000</f>
        <v>0.0005254629629629629</v>
      </c>
      <c r="P14" s="16"/>
      <c r="Q14" s="16">
        <f>1006/864000</f>
        <v>0.0011643518518518517</v>
      </c>
      <c r="R14" s="16">
        <f>1003/864000</f>
        <v>0.0011608796296296295</v>
      </c>
      <c r="S14" s="16">
        <f>7709/864000</f>
        <v>0.008922453703703703</v>
      </c>
      <c r="T14" s="16">
        <f>3692/864000</f>
        <v>0.004273148148148148</v>
      </c>
      <c r="U14" s="16">
        <f>4028/864000</f>
        <v>0.0046620370370370375</v>
      </c>
      <c r="V14" s="16">
        <f>5845/864000</f>
        <v>0.006765046296296296</v>
      </c>
      <c r="W14" s="16">
        <f>7514/864000</f>
        <v>0.00869675925925926</v>
      </c>
      <c r="X14" s="16">
        <f>3970/864000</f>
        <v>0.004594907407407408</v>
      </c>
      <c r="Y14" s="16">
        <f>3610/864000</f>
        <v>0.004178240740740741</v>
      </c>
      <c r="Z14" s="16">
        <f>6072/864000</f>
        <v>0.007027777777777778</v>
      </c>
    </row>
    <row r="15" spans="1:26" ht="15">
      <c r="A15" s="8">
        <v>15</v>
      </c>
      <c r="B15" s="3" t="s">
        <v>22</v>
      </c>
      <c r="C15" s="3" t="s">
        <v>23</v>
      </c>
      <c r="D15" s="3" t="s">
        <v>24</v>
      </c>
      <c r="E15" s="13" t="s">
        <v>25</v>
      </c>
      <c r="F15" s="18">
        <f>1122/864000</f>
        <v>0.001298611111111111</v>
      </c>
      <c r="G15" s="18">
        <f>1120/864000</f>
        <v>0.0012962962962962963</v>
      </c>
      <c r="H15" s="18">
        <f>5144/864000</f>
        <v>0.005953703703703704</v>
      </c>
      <c r="I15" s="18">
        <f>11900/864000</f>
        <v>0.013773148148148149</v>
      </c>
      <c r="J15" s="18">
        <f>6561/864000</f>
        <v>0.00759375</v>
      </c>
      <c r="K15" s="18">
        <f>4787/864000</f>
        <v>0.005540509259259259</v>
      </c>
      <c r="L15" s="18">
        <f>4982/864000</f>
        <v>0.005766203703703704</v>
      </c>
      <c r="M15" s="18">
        <f>12191/864000</f>
        <v>0.014109953703703704</v>
      </c>
      <c r="N15" s="18">
        <f>520/864000</f>
        <v>0.0006018518518518519</v>
      </c>
      <c r="O15" s="18">
        <f>530/864000</f>
        <v>0.0006134259259259259</v>
      </c>
      <c r="P15" s="18"/>
      <c r="Q15" s="18">
        <f>1101/864000</f>
        <v>0.0012743055555555557</v>
      </c>
      <c r="R15" s="18">
        <f>1085/864000</f>
        <v>0.001255787037037037</v>
      </c>
      <c r="S15" s="18">
        <f>8369/864000</f>
        <v>0.009686342592592592</v>
      </c>
      <c r="T15" s="18">
        <f>4038/864000</f>
        <v>0.004673611111111111</v>
      </c>
      <c r="U15" s="18">
        <f>4556/864000</f>
        <v>0.005273148148148148</v>
      </c>
      <c r="V15" s="18">
        <f>6378/864000</f>
        <v>0.0073819444444444444</v>
      </c>
      <c r="W15" s="18">
        <f>8151/864000</f>
        <v>0.009434027777777777</v>
      </c>
      <c r="X15" s="18">
        <f>4531/864000</f>
        <v>0.005244212962962963</v>
      </c>
      <c r="Y15" s="18">
        <f>4444/864000</f>
        <v>0.005143518518518519</v>
      </c>
      <c r="Z15" s="18">
        <f>7730/864000</f>
        <v>0.008946759259259258</v>
      </c>
    </row>
    <row r="16" spans="1:26" ht="15">
      <c r="A16" s="7">
        <v>18</v>
      </c>
      <c r="B16" s="2" t="s">
        <v>26</v>
      </c>
      <c r="C16" s="2" t="s">
        <v>27</v>
      </c>
      <c r="D16" s="2" t="s">
        <v>28</v>
      </c>
      <c r="E16" s="12" t="s">
        <v>29</v>
      </c>
      <c r="F16" s="16">
        <f>1095/864000</f>
        <v>0.001267361111111111</v>
      </c>
      <c r="G16" s="16">
        <f>1104/864000</f>
        <v>0.0012777777777777779</v>
      </c>
      <c r="H16" s="16">
        <f>4569/864000</f>
        <v>0.005288194444444444</v>
      </c>
      <c r="I16" s="16">
        <f>11100/864000</f>
        <v>0.012847222222222222</v>
      </c>
      <c r="J16" s="16">
        <f>6040/864000</f>
        <v>0.006990740740740741</v>
      </c>
      <c r="K16" s="16">
        <f>4565/864000</f>
        <v>0.005283564814814815</v>
      </c>
      <c r="L16" s="16">
        <f>4567/864000</f>
        <v>0.00528587962962963</v>
      </c>
      <c r="M16" s="16">
        <f>11120/864000</f>
        <v>0.01287037037037037</v>
      </c>
      <c r="N16" s="16">
        <f>488/864000</f>
        <v>0.0005648148148148149</v>
      </c>
      <c r="O16" s="16">
        <f>471/864000</f>
        <v>0.0005451388888888888</v>
      </c>
      <c r="P16" s="16"/>
      <c r="Q16" s="16">
        <f>1106/864000</f>
        <v>0.0012800925925925927</v>
      </c>
      <c r="R16" s="16">
        <f>1110/864000</f>
        <v>0.0012847222222222223</v>
      </c>
      <c r="S16" s="16">
        <f>7467/864000</f>
        <v>0.008642361111111111</v>
      </c>
      <c r="T16" s="16">
        <f>3669/864000</f>
        <v>0.004246527777777778</v>
      </c>
      <c r="U16" s="16">
        <f>4138/864000</f>
        <v>0.004789351851851852</v>
      </c>
      <c r="V16" s="16">
        <f>5690/864000</f>
        <v>0.006585648148148148</v>
      </c>
      <c r="W16" s="16">
        <f>7419/864000</f>
        <v>0.008586805555555556</v>
      </c>
      <c r="X16" s="16">
        <f>4180/864000</f>
        <v>0.004837962962962963</v>
      </c>
      <c r="Y16" s="16">
        <f>3709/864000</f>
        <v>0.004292824074074074</v>
      </c>
      <c r="Z16" s="16">
        <f>6169/864000</f>
        <v>0.007140046296296296</v>
      </c>
    </row>
    <row r="17" spans="1:26" ht="15">
      <c r="A17" s="8">
        <v>20</v>
      </c>
      <c r="B17" s="3" t="s">
        <v>30</v>
      </c>
      <c r="C17" s="3" t="s">
        <v>31</v>
      </c>
      <c r="D17" s="3" t="s">
        <v>14</v>
      </c>
      <c r="E17" s="13" t="s">
        <v>32</v>
      </c>
      <c r="F17" s="18">
        <f>1011/864000</f>
        <v>0.001170138888888889</v>
      </c>
      <c r="G17" s="18">
        <f>992/864000</f>
        <v>0.0011481481481481481</v>
      </c>
      <c r="H17" s="18">
        <f>4506/864000</f>
        <v>0.005215277777777778</v>
      </c>
      <c r="I17" s="18">
        <f>10360/864000</f>
        <v>0.011990740740740741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">
      <c r="A18" s="7">
        <v>21</v>
      </c>
      <c r="B18" s="2" t="s">
        <v>33</v>
      </c>
      <c r="C18" s="2" t="s">
        <v>34</v>
      </c>
      <c r="D18" s="2" t="s">
        <v>35</v>
      </c>
      <c r="E18" s="12" t="s">
        <v>36</v>
      </c>
      <c r="F18" s="16">
        <f>968/864000</f>
        <v>0.0011203703703703703</v>
      </c>
      <c r="G18" s="16">
        <f>996/864000</f>
        <v>0.0011527777777777777</v>
      </c>
      <c r="H18" s="16">
        <f>4133/864000</f>
        <v>0.004783564814814815</v>
      </c>
      <c r="I18" s="16">
        <f>9916/864000</f>
        <v>0.011476851851851853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>
      <c r="A19" s="8">
        <v>22</v>
      </c>
      <c r="B19" s="3" t="s">
        <v>37</v>
      </c>
      <c r="C19" s="3" t="s">
        <v>38</v>
      </c>
      <c r="D19" s="3" t="s">
        <v>35</v>
      </c>
      <c r="E19" s="13" t="s">
        <v>36</v>
      </c>
      <c r="F19" s="18">
        <f>1015/864000</f>
        <v>0.0011747685185185186</v>
      </c>
      <c r="G19" s="18">
        <f>1035/864000</f>
        <v>0.0011979166666666666</v>
      </c>
      <c r="H19" s="18">
        <f>4338/864000</f>
        <v>0.005020833333333334</v>
      </c>
      <c r="I19" s="18">
        <f>10857/864000</f>
        <v>0.012565972222222221</v>
      </c>
      <c r="J19" s="18">
        <f>5544/864000</f>
        <v>0.006416666666666667</v>
      </c>
      <c r="K19" s="18">
        <f>3938/864000</f>
        <v>0.00455787037037037</v>
      </c>
      <c r="L19" s="18">
        <f>4293/864000</f>
        <v>0.00496875</v>
      </c>
      <c r="M19" s="18">
        <f>10037/864000</f>
        <v>0.011616898148148149</v>
      </c>
      <c r="N19" s="18">
        <f>452/864000</f>
        <v>0.0005231481481481481</v>
      </c>
      <c r="O19" s="18">
        <f>438/864000</f>
        <v>0.0005069444444444444</v>
      </c>
      <c r="P19" s="18"/>
      <c r="Q19" s="18">
        <f>1028/864000</f>
        <v>0.0011898148148148148</v>
      </c>
      <c r="R19" s="18">
        <f>1016/864000</f>
        <v>0.001175925925925926</v>
      </c>
      <c r="S19" s="18">
        <f>7680/864000</f>
        <v>0.008888888888888889</v>
      </c>
      <c r="T19" s="18">
        <f>3378/864000</f>
        <v>0.003909722222222222</v>
      </c>
      <c r="U19" s="18">
        <f>3844/864000</f>
        <v>0.004449074074074074</v>
      </c>
      <c r="V19" s="18">
        <f>5396/864000</f>
        <v>0.006245370370370371</v>
      </c>
      <c r="W19" s="18">
        <f>6995/864000</f>
        <v>0.008096064814814815</v>
      </c>
      <c r="X19" s="18">
        <f>3795/864000</f>
        <v>0.004392361111111111</v>
      </c>
      <c r="Y19" s="18">
        <f>3329/864000</f>
        <v>0.003853009259259259</v>
      </c>
      <c r="Z19" s="18">
        <f>5537/864000</f>
        <v>0.006408564814814815</v>
      </c>
    </row>
    <row r="20" spans="1:26" ht="15">
      <c r="A20" s="7">
        <v>23</v>
      </c>
      <c r="B20" s="2" t="s">
        <v>39</v>
      </c>
      <c r="C20" s="2" t="s">
        <v>40</v>
      </c>
      <c r="D20" s="2" t="s">
        <v>14</v>
      </c>
      <c r="E20" s="12" t="s">
        <v>41</v>
      </c>
      <c r="F20" s="16">
        <f>1023/864000</f>
        <v>0.0011840277777777778</v>
      </c>
      <c r="G20" s="16">
        <f>1050/864000</f>
        <v>0.0012152777777777778</v>
      </c>
      <c r="H20" s="16">
        <f>4534/864000</f>
        <v>0.005247685185185185</v>
      </c>
      <c r="I20" s="16">
        <f>10755/864000</f>
        <v>0.012447916666666666</v>
      </c>
      <c r="J20" s="16">
        <f>5799/864000</f>
        <v>0.006711805555555556</v>
      </c>
      <c r="K20" s="16">
        <f>4138/864000</f>
        <v>0.004789351851851852</v>
      </c>
      <c r="L20" s="16">
        <f>4442/864000</f>
        <v>0.005141203703703703</v>
      </c>
      <c r="M20" s="16">
        <f>10919/864000</f>
        <v>0.01263773148148148</v>
      </c>
      <c r="N20" s="16">
        <f>469/864000</f>
        <v>0.000542824074074074</v>
      </c>
      <c r="O20" s="16">
        <f>736/864000</f>
        <v>0.0008518518518518519</v>
      </c>
      <c r="P20" s="16"/>
      <c r="Q20" s="16">
        <f>1153/864000</f>
        <v>0.0013344907407407407</v>
      </c>
      <c r="R20" s="16">
        <f>1102/864000</f>
        <v>0.001275462962962963</v>
      </c>
      <c r="S20" s="16"/>
      <c r="T20" s="16"/>
      <c r="U20" s="16"/>
      <c r="V20" s="16"/>
      <c r="W20" s="16"/>
      <c r="X20" s="16"/>
      <c r="Y20" s="16"/>
      <c r="Z20" s="16"/>
    </row>
    <row r="21" spans="1:26" ht="15">
      <c r="A21" s="8">
        <v>24</v>
      </c>
      <c r="B21" s="3" t="s">
        <v>42</v>
      </c>
      <c r="C21" s="3" t="s">
        <v>43</v>
      </c>
      <c r="D21" s="3" t="s">
        <v>35</v>
      </c>
      <c r="E21" s="13" t="s">
        <v>44</v>
      </c>
      <c r="F21" s="18">
        <f>961/864000</f>
        <v>0.0011122685185185185</v>
      </c>
      <c r="G21" s="18">
        <f>975/864000</f>
        <v>0.0011284722222222221</v>
      </c>
      <c r="H21" s="18">
        <f>4318/864000</f>
        <v>0.004997685185185185</v>
      </c>
      <c r="I21" s="18">
        <f>10102/864000</f>
        <v>0.01169212962962963</v>
      </c>
      <c r="J21" s="18">
        <f>5515/864000</f>
        <v>0.006383101851851852</v>
      </c>
      <c r="K21" s="18">
        <f>4371/864000</f>
        <v>0.005059027777777778</v>
      </c>
      <c r="L21" s="18">
        <f>4267/864000</f>
        <v>0.004938657407407407</v>
      </c>
      <c r="M21" s="18">
        <f>10158/864000</f>
        <v>0.011756944444444445</v>
      </c>
      <c r="N21" s="18">
        <f>417/864000</f>
        <v>0.0004826388888888889</v>
      </c>
      <c r="O21" s="18">
        <f>426/864000</f>
        <v>0.0004930555555555556</v>
      </c>
      <c r="P21" s="18"/>
      <c r="Q21" s="18">
        <f>964/864000</f>
        <v>0.0011157407407407407</v>
      </c>
      <c r="R21" s="18">
        <f>963/864000</f>
        <v>0.0011145833333333333</v>
      </c>
      <c r="S21" s="18">
        <f>7086/864000</f>
        <v>0.008201388888888888</v>
      </c>
      <c r="T21" s="18">
        <f>3298/864000</f>
        <v>0.0038171296296296295</v>
      </c>
      <c r="U21" s="18">
        <f>3793/864000</f>
        <v>0.004390046296296296</v>
      </c>
      <c r="V21" s="18">
        <f>5396/864000</f>
        <v>0.006245370370370371</v>
      </c>
      <c r="W21" s="18">
        <f>6944/864000</f>
        <v>0.008037037037037037</v>
      </c>
      <c r="X21" s="18">
        <f>3724/864000</f>
        <v>0.004310185185185185</v>
      </c>
      <c r="Y21" s="18">
        <f>3241/864000</f>
        <v>0.0037511574074074075</v>
      </c>
      <c r="Z21" s="18">
        <f>5574/864000</f>
        <v>0.006451388888888889</v>
      </c>
    </row>
    <row r="22" spans="1:26" ht="15">
      <c r="A22" s="7">
        <v>25</v>
      </c>
      <c r="B22" s="2" t="s">
        <v>45</v>
      </c>
      <c r="C22" s="2" t="s">
        <v>46</v>
      </c>
      <c r="D22" s="2" t="s">
        <v>14</v>
      </c>
      <c r="E22" s="12" t="s">
        <v>47</v>
      </c>
      <c r="F22" s="16">
        <f>1014/864000</f>
        <v>0.0011736111111111112</v>
      </c>
      <c r="G22" s="16">
        <f>1006/864000</f>
        <v>0.0011643518518518517</v>
      </c>
      <c r="H22" s="16">
        <f>4634/864000</f>
        <v>0.005363425925925926</v>
      </c>
      <c r="I22" s="16">
        <f>10799/864000</f>
        <v>0.012498842592592593</v>
      </c>
      <c r="J22" s="16">
        <f>5910/864000</f>
        <v>0.006840277777777778</v>
      </c>
      <c r="K22" s="16">
        <f>4296/864000</f>
        <v>0.0049722222222222225</v>
      </c>
      <c r="L22" s="16">
        <f>4759/864000</f>
        <v>0.005508101851851852</v>
      </c>
      <c r="M22" s="16">
        <f>10716/864000</f>
        <v>0.012402777777777778</v>
      </c>
      <c r="N22" s="16">
        <f>467/864000</f>
        <v>0.0005405092592592592</v>
      </c>
      <c r="O22" s="16">
        <f>486/864000</f>
        <v>0.0005625</v>
      </c>
      <c r="P22" s="16"/>
      <c r="Q22" s="16">
        <f>1019/864000</f>
        <v>0.0011793981481481482</v>
      </c>
      <c r="R22" s="16">
        <f>1009/864000</f>
        <v>0.0011678240740740742</v>
      </c>
      <c r="S22" s="16">
        <f>7677/864000</f>
        <v>0.008885416666666666</v>
      </c>
      <c r="T22" s="16">
        <f>3621/864000</f>
        <v>0.004190972222222222</v>
      </c>
      <c r="U22" s="16">
        <f>4109/864000</f>
        <v>0.004755787037037037</v>
      </c>
      <c r="V22" s="16">
        <f>5775/864000</f>
        <v>0.0066840277777777775</v>
      </c>
      <c r="W22" s="16">
        <f>7432/864000</f>
        <v>0.008601851851851852</v>
      </c>
      <c r="X22" s="16">
        <f>3994/864000</f>
        <v>0.004622685185185185</v>
      </c>
      <c r="Y22" s="16">
        <f>3481/864000</f>
        <v>0.004028935185185185</v>
      </c>
      <c r="Z22" s="16">
        <f>5916/864000</f>
        <v>0.006847222222222222</v>
      </c>
    </row>
    <row r="23" spans="1:26" ht="15">
      <c r="A23" s="8">
        <v>26</v>
      </c>
      <c r="B23" s="3" t="s">
        <v>48</v>
      </c>
      <c r="C23" s="3" t="s">
        <v>49</v>
      </c>
      <c r="D23" s="3" t="s">
        <v>35</v>
      </c>
      <c r="E23" s="13" t="s">
        <v>36</v>
      </c>
      <c r="F23" s="18">
        <f>1081/864000</f>
        <v>0.0012511574074074074</v>
      </c>
      <c r="G23" s="18">
        <f>1067/864000</f>
        <v>0.0012349537037037036</v>
      </c>
      <c r="H23" s="18">
        <f>4599/864000</f>
        <v>0.005322916666666667</v>
      </c>
      <c r="I23" s="18">
        <f>10753/864000</f>
        <v>0.012445601851851852</v>
      </c>
      <c r="J23" s="18">
        <f>6055/864000</f>
        <v>0.007008101851851852</v>
      </c>
      <c r="K23" s="18">
        <f>4469/864000</f>
        <v>0.005172453703703703</v>
      </c>
      <c r="L23" s="18">
        <f>4590/864000</f>
        <v>0.0053125</v>
      </c>
      <c r="M23" s="18">
        <f>10784/864000</f>
        <v>0.012481481481481482</v>
      </c>
      <c r="N23" s="18">
        <f>466/864000</f>
        <v>0.0005393518518518518</v>
      </c>
      <c r="O23" s="18">
        <f>464/864000</f>
        <v>0.000537037037037037</v>
      </c>
      <c r="P23" s="18"/>
      <c r="Q23" s="18">
        <f>1025/864000</f>
        <v>0.0011863425925925926</v>
      </c>
      <c r="R23" s="18">
        <f>1035/864000</f>
        <v>0.0011979166666666666</v>
      </c>
      <c r="S23" s="18">
        <f>7692/864000</f>
        <v>0.008902777777777779</v>
      </c>
      <c r="T23" s="18">
        <f>3606/864000</f>
        <v>0.0041736111111111114</v>
      </c>
      <c r="U23" s="18">
        <f>4213/864000</f>
        <v>0.004876157407407407</v>
      </c>
      <c r="V23" s="18">
        <f>5804/864000</f>
        <v>0.006717592592592593</v>
      </c>
      <c r="W23" s="18">
        <f>7600/864000</f>
        <v>0.008796296296296297</v>
      </c>
      <c r="X23" s="18">
        <f>4317/864000</f>
        <v>0.004996527777777778</v>
      </c>
      <c r="Y23" s="18">
        <f>4373/864000</f>
        <v>0.005061342592592593</v>
      </c>
      <c r="Z23" s="18">
        <f>9582/864000</f>
        <v>0.011090277777777777</v>
      </c>
    </row>
    <row r="24" spans="1:26" ht="15">
      <c r="A24" s="7">
        <v>27</v>
      </c>
      <c r="B24" s="2" t="s">
        <v>50</v>
      </c>
      <c r="C24" s="2" t="s">
        <v>51</v>
      </c>
      <c r="D24" s="2" t="s">
        <v>35</v>
      </c>
      <c r="E24" s="12" t="s">
        <v>36</v>
      </c>
      <c r="F24" s="16">
        <f>1088/864000</f>
        <v>0.0012592592592592592</v>
      </c>
      <c r="G24" s="16">
        <f>1091/864000</f>
        <v>0.0012627314814814814</v>
      </c>
      <c r="H24" s="16">
        <f>4871/864000</f>
        <v>0.005637731481481481</v>
      </c>
      <c r="I24" s="16">
        <f>11457/864000</f>
        <v>0.013260416666666667</v>
      </c>
      <c r="J24" s="16">
        <f>6125/864000</f>
        <v>0.007089120370370371</v>
      </c>
      <c r="K24" s="16">
        <f>4432/864000</f>
        <v>0.00512962962962963</v>
      </c>
      <c r="L24" s="16">
        <f>4785/864000</f>
        <v>0.0055381944444444445</v>
      </c>
      <c r="M24" s="16">
        <f>11456/864000</f>
        <v>0.013259259259259259</v>
      </c>
      <c r="N24" s="16">
        <f>577/864000</f>
        <v>0.000667824074074074</v>
      </c>
      <c r="O24" s="16">
        <f>502/864000</f>
        <v>0.0005810185185185185</v>
      </c>
      <c r="P24" s="16"/>
      <c r="Q24" s="16">
        <f>1081/864000</f>
        <v>0.0012511574074074074</v>
      </c>
      <c r="R24" s="16">
        <f>1073/864000</f>
        <v>0.0012418981481481482</v>
      </c>
      <c r="S24" s="16"/>
      <c r="T24" s="16"/>
      <c r="U24" s="16"/>
      <c r="V24" s="16"/>
      <c r="W24" s="16"/>
      <c r="X24" s="16"/>
      <c r="Y24" s="16"/>
      <c r="Z24" s="16"/>
    </row>
    <row r="25" spans="1:26" ht="15">
      <c r="A25" s="8">
        <v>28</v>
      </c>
      <c r="B25" s="3" t="s">
        <v>52</v>
      </c>
      <c r="C25" s="3" t="s">
        <v>53</v>
      </c>
      <c r="D25" s="3" t="s">
        <v>35</v>
      </c>
      <c r="E25" s="13" t="s">
        <v>54</v>
      </c>
      <c r="F25" s="18">
        <f>1117/864000</f>
        <v>0.001292824074074074</v>
      </c>
      <c r="G25" s="18">
        <f>1096/864000</f>
        <v>0.0012685185185185184</v>
      </c>
      <c r="H25" s="18">
        <f>4617/864000</f>
        <v>0.00534375</v>
      </c>
      <c r="I25" s="18">
        <f>11200/864000</f>
        <v>0.012962962962962963</v>
      </c>
      <c r="J25" s="18">
        <f>5928/864000</f>
        <v>0.006861111111111111</v>
      </c>
      <c r="K25" s="18">
        <f>4321/864000</f>
        <v>0.005001157407407407</v>
      </c>
      <c r="L25" s="18">
        <f>4506/864000</f>
        <v>0.005215277777777778</v>
      </c>
      <c r="M25" s="18">
        <f>10858/864000</f>
        <v>0.01256712962962963</v>
      </c>
      <c r="N25" s="18">
        <f>459/864000</f>
        <v>0.00053125</v>
      </c>
      <c r="O25" s="18">
        <f>464/864000</f>
        <v>0.000537037037037037</v>
      </c>
      <c r="P25" s="18"/>
      <c r="Q25" s="18">
        <f>1100/864000</f>
        <v>0.0012731481481481483</v>
      </c>
      <c r="R25" s="18">
        <f>1081/864000</f>
        <v>0.0012511574074074074</v>
      </c>
      <c r="S25" s="18">
        <f>7813/864000</f>
        <v>0.009042824074074075</v>
      </c>
      <c r="T25" s="18">
        <f>3740/864000</f>
        <v>0.0043287037037037035</v>
      </c>
      <c r="U25" s="18"/>
      <c r="V25" s="18"/>
      <c r="W25" s="18"/>
      <c r="X25" s="18"/>
      <c r="Y25" s="18"/>
      <c r="Z25" s="18"/>
    </row>
    <row r="26" spans="1:26" ht="15">
      <c r="A26" s="7">
        <v>29</v>
      </c>
      <c r="B26" s="2" t="s">
        <v>55</v>
      </c>
      <c r="C26" s="2" t="s">
        <v>56</v>
      </c>
      <c r="D26" s="2" t="s">
        <v>24</v>
      </c>
      <c r="E26" s="12" t="s">
        <v>57</v>
      </c>
      <c r="F26" s="16">
        <f>1069/864000</f>
        <v>0.0012372685185185186</v>
      </c>
      <c r="G26" s="16">
        <f>1119/864000</f>
        <v>0.0012951388888888889</v>
      </c>
      <c r="H26" s="16">
        <f>4741/864000</f>
        <v>0.005487268518518519</v>
      </c>
      <c r="I26" s="16">
        <f>11138/864000</f>
        <v>0.012891203703703703</v>
      </c>
      <c r="J26" s="16">
        <f>6069/864000</f>
        <v>0.007024305555555555</v>
      </c>
      <c r="K26" s="16">
        <f>4393/864000</f>
        <v>0.005084490740740741</v>
      </c>
      <c r="L26" s="16">
        <f>4706/864000</f>
        <v>0.005446759259259259</v>
      </c>
      <c r="M26" s="16">
        <f>11247/864000</f>
        <v>0.013017361111111111</v>
      </c>
      <c r="N26" s="16">
        <f>493/864000</f>
        <v>0.0005706018518518519</v>
      </c>
      <c r="O26" s="16">
        <f>468/864000</f>
        <v>0.0005416666666666666</v>
      </c>
      <c r="P26" s="16"/>
      <c r="Q26" s="16">
        <f>1046/864000</f>
        <v>0.0012106481481481482</v>
      </c>
      <c r="R26" s="16">
        <f>1043/864000</f>
        <v>0.001207175925925926</v>
      </c>
      <c r="S26" s="16">
        <f>7857/864000</f>
        <v>0.00909375</v>
      </c>
      <c r="T26" s="16">
        <f>3932/864000</f>
        <v>0.004550925925925926</v>
      </c>
      <c r="U26" s="16">
        <f>4173/864000</f>
        <v>0.004829861111111111</v>
      </c>
      <c r="V26" s="16">
        <f>5853/864000</f>
        <v>0.006774305555555556</v>
      </c>
      <c r="W26" s="16">
        <f>7645/864000</f>
        <v>0.00884837962962963</v>
      </c>
      <c r="X26" s="16">
        <f>4135/864000</f>
        <v>0.0047858796296296295</v>
      </c>
      <c r="Y26" s="16">
        <f>3643/864000</f>
        <v>0.004216435185185185</v>
      </c>
      <c r="Z26" s="16">
        <f>6162/864000</f>
        <v>0.007131944444444444</v>
      </c>
    </row>
    <row r="27" spans="1:26" ht="15">
      <c r="A27" s="8">
        <v>30</v>
      </c>
      <c r="B27" s="3" t="s">
        <v>58</v>
      </c>
      <c r="C27" s="3" t="s">
        <v>58</v>
      </c>
      <c r="D27" s="3" t="s">
        <v>35</v>
      </c>
      <c r="E27" s="13" t="s">
        <v>59</v>
      </c>
      <c r="F27" s="18">
        <f>998/864000</f>
        <v>0.0011550925925925925</v>
      </c>
      <c r="G27" s="18">
        <f>987/864000</f>
        <v>0.0011423611111111111</v>
      </c>
      <c r="H27" s="18">
        <f>4228/864000</f>
        <v>0.004893518518518518</v>
      </c>
      <c r="I27" s="18">
        <f>10187/864000</f>
        <v>0.01179050925925926</v>
      </c>
      <c r="J27" s="18">
        <f>5496/864000</f>
        <v>0.006361111111111111</v>
      </c>
      <c r="K27" s="18">
        <f>3976/864000</f>
        <v>0.004601851851851852</v>
      </c>
      <c r="L27" s="18">
        <f>4337/864000</f>
        <v>0.005019675925925926</v>
      </c>
      <c r="M27" s="18">
        <f>10587/864000</f>
        <v>0.012253472222222223</v>
      </c>
      <c r="N27" s="18">
        <f>466/864000</f>
        <v>0.0005393518518518518</v>
      </c>
      <c r="O27" s="18">
        <f>459/864000</f>
        <v>0.00053125</v>
      </c>
      <c r="P27" s="18"/>
      <c r="Q27" s="18">
        <f>978/864000</f>
        <v>0.0011319444444444445</v>
      </c>
      <c r="R27" s="18">
        <f>977/864000</f>
        <v>0.0011307870370370371</v>
      </c>
      <c r="S27" s="18">
        <f>7097/864000</f>
        <v>0.00821412037037037</v>
      </c>
      <c r="T27" s="18">
        <f>3394/864000</f>
        <v>0.003928240740740741</v>
      </c>
      <c r="U27" s="18">
        <f>3824/864000</f>
        <v>0.004425925925925926</v>
      </c>
      <c r="V27" s="18">
        <f>5351/864000</f>
        <v>0.006193287037037037</v>
      </c>
      <c r="W27" s="18">
        <f>7037/864000</f>
        <v>0.008144675925925927</v>
      </c>
      <c r="X27" s="18">
        <f>3729/864000</f>
        <v>0.004315972222222222</v>
      </c>
      <c r="Y27" s="18">
        <f>3283/864000</f>
        <v>0.0037997685185185187</v>
      </c>
      <c r="Z27" s="18">
        <f>5619/864000</f>
        <v>0.006503472222222222</v>
      </c>
    </row>
    <row r="28" spans="1:26" ht="15">
      <c r="A28" s="7">
        <v>31</v>
      </c>
      <c r="B28" s="2" t="s">
        <v>60</v>
      </c>
      <c r="C28" s="2" t="s">
        <v>61</v>
      </c>
      <c r="D28" s="2" t="s">
        <v>35</v>
      </c>
      <c r="E28" s="12" t="s">
        <v>59</v>
      </c>
      <c r="F28" s="16">
        <f>1120/864000</f>
        <v>0.0012962962962962963</v>
      </c>
      <c r="G28" s="17">
        <f>1420/864000</f>
        <v>0.0016435185185185185</v>
      </c>
      <c r="H28" s="16">
        <f>4684/864000</f>
        <v>0.0054212962962962965</v>
      </c>
      <c r="I28" s="16">
        <f>11204/864000</f>
        <v>0.012967592592592593</v>
      </c>
      <c r="J28" s="16">
        <f>5987/864000</f>
        <v>0.006929398148148148</v>
      </c>
      <c r="K28" s="16">
        <f>4409/864000</f>
        <v>0.005103009259259259</v>
      </c>
      <c r="L28" s="16">
        <f>4574/864000</f>
        <v>0.005293981481481481</v>
      </c>
      <c r="M28" s="16">
        <f>10818/864000</f>
        <v>0.012520833333333333</v>
      </c>
      <c r="N28" s="16">
        <f>465/864000</f>
        <v>0.0005381944444444444</v>
      </c>
      <c r="O28" s="16">
        <f>459/864000</f>
        <v>0.00053125</v>
      </c>
      <c r="P28" s="16"/>
      <c r="Q28" s="16">
        <f>1019/864000</f>
        <v>0.0011793981481481482</v>
      </c>
      <c r="R28" s="16">
        <f>1019/864000</f>
        <v>0.0011793981481481482</v>
      </c>
      <c r="S28" s="16">
        <f>7549/864000</f>
        <v>0.00873726851851852</v>
      </c>
      <c r="T28" s="16">
        <f>3554/864000</f>
        <v>0.004113425925925926</v>
      </c>
      <c r="U28" s="16">
        <f>4019/864000</f>
        <v>0.00465162037037037</v>
      </c>
      <c r="V28" s="16">
        <f>5672/864000</f>
        <v>0.006564814814814815</v>
      </c>
      <c r="W28" s="16">
        <f>7330/864000</f>
        <v>0.008483796296296297</v>
      </c>
      <c r="X28" s="16">
        <f>3926/864000</f>
        <v>0.004543981481481481</v>
      </c>
      <c r="Y28" s="16">
        <f>3498/864000</f>
        <v>0.004048611111111111</v>
      </c>
      <c r="Z28" s="16">
        <f>5937/864000</f>
        <v>0.006871527777777778</v>
      </c>
    </row>
    <row r="29" spans="1:26" ht="15">
      <c r="A29" s="8">
        <v>32</v>
      </c>
      <c r="B29" s="3" t="s">
        <v>62</v>
      </c>
      <c r="C29" s="3" t="s">
        <v>63</v>
      </c>
      <c r="D29" s="3" t="s">
        <v>14</v>
      </c>
      <c r="E29" s="13" t="s">
        <v>64</v>
      </c>
      <c r="F29" s="18">
        <f>982/864000</f>
        <v>0.0011365740740740741</v>
      </c>
      <c r="G29" s="18">
        <f>994/864000</f>
        <v>0.001150462962962963</v>
      </c>
      <c r="H29" s="18">
        <f>4954/864000</f>
        <v>0.005733796296296296</v>
      </c>
      <c r="I29" s="18">
        <f>11052/864000</f>
        <v>0.012791666666666666</v>
      </c>
      <c r="J29" s="18">
        <f>6024/864000</f>
        <v>0.0069722222222222225</v>
      </c>
      <c r="K29" s="18">
        <f>4411/864000</f>
        <v>0.005105324074074074</v>
      </c>
      <c r="L29" s="18">
        <f>4617/864000</f>
        <v>0.00534375</v>
      </c>
      <c r="M29" s="18">
        <f>10579/864000</f>
        <v>0.012244212962962964</v>
      </c>
      <c r="N29" s="18">
        <f>456/864000</f>
        <v>0.0005277777777777777</v>
      </c>
      <c r="O29" s="18">
        <f>451/864000</f>
        <v>0.0005219907407407407</v>
      </c>
      <c r="P29" s="18"/>
      <c r="Q29" s="18">
        <f>1006/864000</f>
        <v>0.0011643518518518517</v>
      </c>
      <c r="R29" s="18">
        <f>999/864000</f>
        <v>0.00115625</v>
      </c>
      <c r="S29" s="18">
        <f>7932/864000</f>
        <v>0.009180555555555556</v>
      </c>
      <c r="T29" s="18">
        <f>3724/864000</f>
        <v>0.004310185185185185</v>
      </c>
      <c r="U29" s="18"/>
      <c r="V29" s="18"/>
      <c r="W29" s="18"/>
      <c r="X29" s="18"/>
      <c r="Y29" s="18"/>
      <c r="Z29" s="18"/>
    </row>
    <row r="30" spans="1:26" ht="15">
      <c r="A30" s="7">
        <v>33</v>
      </c>
      <c r="B30" s="2" t="s">
        <v>65</v>
      </c>
      <c r="C30" s="2" t="s">
        <v>66</v>
      </c>
      <c r="D30" s="2" t="s">
        <v>67</v>
      </c>
      <c r="E30" s="12" t="s">
        <v>68</v>
      </c>
      <c r="F30" s="16">
        <f>977/864000</f>
        <v>0.0011307870370370371</v>
      </c>
      <c r="G30" s="16">
        <f>984/864000</f>
        <v>0.001138888888888889</v>
      </c>
      <c r="H30" s="16">
        <f>4362/864000</f>
        <v>0.005048611111111111</v>
      </c>
      <c r="I30" s="16">
        <f>10793/864000</f>
        <v>0.012491898148148148</v>
      </c>
      <c r="J30" s="16">
        <f>5648/864000</f>
        <v>0.006537037037037037</v>
      </c>
      <c r="K30" s="16">
        <f>4186/864000</f>
        <v>0.004844907407407407</v>
      </c>
      <c r="L30" s="16">
        <f>4349/864000</f>
        <v>0.0050335648148148145</v>
      </c>
      <c r="M30" s="16">
        <f>10660/864000</f>
        <v>0.012337962962962964</v>
      </c>
      <c r="N30" s="16">
        <f>468/864000</f>
        <v>0.0005416666666666666</v>
      </c>
      <c r="O30" s="16">
        <f>461/864000</f>
        <v>0.0005335648148148148</v>
      </c>
      <c r="P30" s="16"/>
      <c r="Q30" s="16">
        <f>989/864000</f>
        <v>0.001144675925925926</v>
      </c>
      <c r="R30" s="16">
        <f>989/864000</f>
        <v>0.001144675925925926</v>
      </c>
      <c r="S30" s="16">
        <f>7428/864000</f>
        <v>0.008597222222222221</v>
      </c>
      <c r="T30" s="16">
        <f>3526/864000</f>
        <v>0.0040810185185185185</v>
      </c>
      <c r="U30" s="16">
        <f>3978/864000</f>
        <v>0.004604166666666667</v>
      </c>
      <c r="V30" s="16">
        <f>5522/864000</f>
        <v>0.006391203703703704</v>
      </c>
      <c r="W30" s="16">
        <f>7297/864000</f>
        <v>0.008445601851851852</v>
      </c>
      <c r="X30" s="16">
        <f>3930/864000</f>
        <v>0.004548611111111111</v>
      </c>
      <c r="Y30" s="16">
        <f>3461/864000</f>
        <v>0.004005787037037037</v>
      </c>
      <c r="Z30" s="16">
        <f>5961/864000</f>
        <v>0.006899305555555555</v>
      </c>
    </row>
    <row r="31" spans="1:26" ht="15">
      <c r="A31" s="8">
        <v>34</v>
      </c>
      <c r="B31" s="3" t="s">
        <v>69</v>
      </c>
      <c r="C31" s="3" t="s">
        <v>69</v>
      </c>
      <c r="D31" s="3" t="s">
        <v>67</v>
      </c>
      <c r="E31" s="13" t="s">
        <v>70</v>
      </c>
      <c r="F31" s="18">
        <f>1078/864000</f>
        <v>0.0012476851851851852</v>
      </c>
      <c r="G31" s="18">
        <f>1135/864000</f>
        <v>0.0013136574074074075</v>
      </c>
      <c r="H31" s="18">
        <f>4597/864000</f>
        <v>0.0053206018518518515</v>
      </c>
      <c r="I31" s="18">
        <f>11107/864000</f>
        <v>0.012855324074074075</v>
      </c>
      <c r="J31" s="18">
        <f>5969/864000</f>
        <v>0.006908564814814814</v>
      </c>
      <c r="K31" s="18">
        <f>4449/864000</f>
        <v>0.005149305555555555</v>
      </c>
      <c r="L31" s="18">
        <f>4524/864000</f>
        <v>0.0052361111111111115</v>
      </c>
      <c r="M31" s="18">
        <f>10926/864000</f>
        <v>0.012645833333333334</v>
      </c>
      <c r="N31" s="18">
        <f>475/864000</f>
        <v>0.0005497685185185186</v>
      </c>
      <c r="O31" s="18">
        <f>486/864000</f>
        <v>0.0005625</v>
      </c>
      <c r="P31" s="18"/>
      <c r="Q31" s="18">
        <f>1051/864000</f>
        <v>0.0012164351851851852</v>
      </c>
      <c r="R31" s="18">
        <f>1051/864000</f>
        <v>0.0012164351851851852</v>
      </c>
      <c r="S31" s="18">
        <f>7932/864000</f>
        <v>0.009180555555555556</v>
      </c>
      <c r="T31" s="18">
        <f>3700/864000</f>
        <v>0.0042824074074074075</v>
      </c>
      <c r="U31" s="18">
        <f>4218/864000</f>
        <v>0.004881944444444445</v>
      </c>
      <c r="V31" s="18">
        <f>5834/864000</f>
        <v>0.006752314814814815</v>
      </c>
      <c r="W31" s="18">
        <f>7480/864000</f>
        <v>0.008657407407407407</v>
      </c>
      <c r="X31" s="18">
        <f>4066/864000</f>
        <v>0.004706018518518518</v>
      </c>
      <c r="Y31" s="18">
        <f>3541/864000</f>
        <v>0.00409837962962963</v>
      </c>
      <c r="Z31" s="18">
        <f>6193/864000</f>
        <v>0.007167824074074074</v>
      </c>
    </row>
    <row r="32" spans="1:26" ht="15">
      <c r="A32" s="7">
        <v>35</v>
      </c>
      <c r="B32" s="2" t="s">
        <v>71</v>
      </c>
      <c r="C32" s="2" t="s">
        <v>72</v>
      </c>
      <c r="D32" s="2" t="s">
        <v>67</v>
      </c>
      <c r="E32" s="12" t="s">
        <v>73</v>
      </c>
      <c r="F32" s="16">
        <f>1100/864000</f>
        <v>0.0012731481481481483</v>
      </c>
      <c r="G32" s="16">
        <f>1103/864000</f>
        <v>0.0012766203703703705</v>
      </c>
      <c r="H32" s="16">
        <f>4697/864000</f>
        <v>0.0054363425925925924</v>
      </c>
      <c r="I32" s="16">
        <f>11019/864000</f>
        <v>0.012753472222222222</v>
      </c>
      <c r="J32" s="16">
        <f>6109/864000</f>
        <v>0.007070601851851852</v>
      </c>
      <c r="K32" s="16">
        <f>4406/864000</f>
        <v>0.005099537037037037</v>
      </c>
      <c r="L32" s="16">
        <f>4630/864000</f>
        <v>0.005358796296296296</v>
      </c>
      <c r="M32" s="16">
        <f>10949/864000</f>
        <v>0.012672453703703703</v>
      </c>
      <c r="N32" s="16">
        <f>485/864000</f>
        <v>0.0005613425925925926</v>
      </c>
      <c r="O32" s="16">
        <f>479/864000</f>
        <v>0.0005543981481481482</v>
      </c>
      <c r="P32" s="16"/>
      <c r="Q32" s="16">
        <f>1112/864000</f>
        <v>0.001287037037037037</v>
      </c>
      <c r="R32" s="16">
        <f>1084/864000</f>
        <v>0.0012546296296296296</v>
      </c>
      <c r="S32" s="16">
        <f>7826/864000</f>
        <v>0.00905787037037037</v>
      </c>
      <c r="T32" s="16">
        <f>3742/864000</f>
        <v>0.004331018518518519</v>
      </c>
      <c r="U32" s="16">
        <f>4211/864000</f>
        <v>0.004873842592592593</v>
      </c>
      <c r="V32" s="16">
        <f>5996/864000</f>
        <v>0.0069398148148148145</v>
      </c>
      <c r="W32" s="16">
        <f>7731/864000</f>
        <v>0.008947916666666667</v>
      </c>
      <c r="X32" s="16">
        <f>4152/864000</f>
        <v>0.004805555555555556</v>
      </c>
      <c r="Y32" s="16">
        <f>3666/864000</f>
        <v>0.0042430555555555555</v>
      </c>
      <c r="Z32" s="16">
        <f>6167/864000</f>
        <v>0.007137731481481482</v>
      </c>
    </row>
    <row r="33" spans="1:26" ht="15">
      <c r="A33" s="8">
        <v>36</v>
      </c>
      <c r="B33" s="3" t="s">
        <v>74</v>
      </c>
      <c r="C33" s="3" t="s">
        <v>75</v>
      </c>
      <c r="D33" s="3" t="s">
        <v>14</v>
      </c>
      <c r="E33" s="13" t="s">
        <v>64</v>
      </c>
      <c r="F33" s="18">
        <f>993/864000</f>
        <v>0.0011493055555555555</v>
      </c>
      <c r="G33" s="18">
        <f>991/864000</f>
        <v>0.0011469907407407407</v>
      </c>
      <c r="H33" s="18">
        <f>4280/864000</f>
        <v>0.004953703703703704</v>
      </c>
      <c r="I33" s="18">
        <f>9987/864000</f>
        <v>0.011559027777777777</v>
      </c>
      <c r="J33" s="18">
        <f>5524/864000</f>
        <v>0.006393518518518519</v>
      </c>
      <c r="K33" s="18">
        <f>4027/864000</f>
        <v>0.004660879629629629</v>
      </c>
      <c r="L33" s="18">
        <f>4296/864000</f>
        <v>0.0049722222222222225</v>
      </c>
      <c r="M33" s="18">
        <f>9983/864000</f>
        <v>0.011554398148148149</v>
      </c>
      <c r="N33" s="18">
        <f>436/864000</f>
        <v>0.0005046296296296296</v>
      </c>
      <c r="O33" s="18">
        <f>425/864000</f>
        <v>0.0004918981481481481</v>
      </c>
      <c r="P33" s="18"/>
      <c r="Q33" s="18">
        <f>981/864000</f>
        <v>0.0011354166666666667</v>
      </c>
      <c r="R33" s="18">
        <f>981/864000</f>
        <v>0.0011354166666666667</v>
      </c>
      <c r="S33" s="18">
        <f>7294/864000</f>
        <v>0.00844212962962963</v>
      </c>
      <c r="T33" s="18">
        <f>3421/864000</f>
        <v>0.003959490740740741</v>
      </c>
      <c r="U33" s="18">
        <f>3801/864000</f>
        <v>0.004399305555555556</v>
      </c>
      <c r="V33" s="18">
        <f>5555/864000</f>
        <v>0.0064293981481481485</v>
      </c>
      <c r="W33" s="18">
        <f>6981/864000</f>
        <v>0.00807986111111111</v>
      </c>
      <c r="X33" s="18">
        <f>3742/864000</f>
        <v>0.004331018518518519</v>
      </c>
      <c r="Y33" s="18">
        <f>3314/864000</f>
        <v>0.0038356481481481484</v>
      </c>
      <c r="Z33" s="18">
        <f>5626/864000</f>
        <v>0.006511574074074074</v>
      </c>
    </row>
    <row r="34" spans="1:26" ht="15">
      <c r="A34" s="7">
        <v>37</v>
      </c>
      <c r="B34" s="2" t="s">
        <v>76</v>
      </c>
      <c r="C34" s="2" t="s">
        <v>77</v>
      </c>
      <c r="D34" s="2" t="s">
        <v>35</v>
      </c>
      <c r="E34" s="12" t="s">
        <v>36</v>
      </c>
      <c r="F34" s="16">
        <f>1111/864000</f>
        <v>0.0012858796296296297</v>
      </c>
      <c r="G34" s="16">
        <f>1118/864000</f>
        <v>0.0012939814814814815</v>
      </c>
      <c r="H34" s="16">
        <f>4403/864000</f>
        <v>0.0050960648148148146</v>
      </c>
      <c r="I34" s="16">
        <f>10538/864000</f>
        <v>0.01219675925925926</v>
      </c>
      <c r="J34" s="16">
        <f>5738/864000</f>
        <v>0.006641203703703704</v>
      </c>
      <c r="K34" s="16">
        <f>4117/864000</f>
        <v>0.004765046296296296</v>
      </c>
      <c r="L34" s="16">
        <f>4295/864000</f>
        <v>0.0049710648148148144</v>
      </c>
      <c r="M34" s="16">
        <f>17699/864000</f>
        <v>0.020484953703703703</v>
      </c>
      <c r="N34" s="16">
        <f>480/864000</f>
        <v>0.0005555555555555556</v>
      </c>
      <c r="O34" s="16">
        <f>476/864000</f>
        <v>0.000550925925925926</v>
      </c>
      <c r="P34" s="16"/>
      <c r="Q34" s="16">
        <f>1121/864000</f>
        <v>0.0012974537037037037</v>
      </c>
      <c r="R34" s="16">
        <f>1127/864000</f>
        <v>0.001304398148148148</v>
      </c>
      <c r="S34" s="16">
        <f>7365/864000</f>
        <v>0.008524305555555556</v>
      </c>
      <c r="T34" s="16">
        <f>3487/864000</f>
        <v>0.00403587962962963</v>
      </c>
      <c r="U34" s="16">
        <f>4008/864000</f>
        <v>0.004638888888888889</v>
      </c>
      <c r="V34" s="16">
        <f>5679/864000</f>
        <v>0.006572916666666667</v>
      </c>
      <c r="W34" s="16">
        <f>7589/864000</f>
        <v>0.008783564814814815</v>
      </c>
      <c r="X34" s="16">
        <f>4032/864000</f>
        <v>0.004666666666666667</v>
      </c>
      <c r="Y34" s="16">
        <f>3470/864000</f>
        <v>0.004016203703703704</v>
      </c>
      <c r="Z34" s="16">
        <f>5803/864000</f>
        <v>0.0067164351851851855</v>
      </c>
    </row>
    <row r="35" spans="1:26" ht="15">
      <c r="A35" s="8">
        <v>38</v>
      </c>
      <c r="B35" s="3" t="s">
        <v>78</v>
      </c>
      <c r="C35" s="3" t="s">
        <v>79</v>
      </c>
      <c r="D35" s="3" t="s">
        <v>80</v>
      </c>
      <c r="E35" s="13" t="s">
        <v>81</v>
      </c>
      <c r="F35" s="18">
        <f>1049/864000</f>
        <v>0.0012141203703703704</v>
      </c>
      <c r="G35" s="18">
        <f>1059/864000</f>
        <v>0.0012256944444444444</v>
      </c>
      <c r="H35" s="18">
        <f>4705/864000</f>
        <v>0.005445601851851852</v>
      </c>
      <c r="I35" s="18">
        <f>11134/864000</f>
        <v>0.012886574074074075</v>
      </c>
      <c r="J35" s="18">
        <f>6036/864000</f>
        <v>0.006986111111111111</v>
      </c>
      <c r="K35" s="18">
        <f>4316/864000</f>
        <v>0.0049953703703703705</v>
      </c>
      <c r="L35" s="18">
        <f>4511/864000</f>
        <v>0.005221064814814815</v>
      </c>
      <c r="M35" s="18">
        <f>10722/864000</f>
        <v>0.012409722222222223</v>
      </c>
      <c r="N35" s="18">
        <f>551/864000</f>
        <v>0.0006377314814814815</v>
      </c>
      <c r="O35" s="18">
        <f>470/864000</f>
        <v>0.0005439814814814814</v>
      </c>
      <c r="P35" s="18"/>
      <c r="Q35" s="18">
        <f>1035/864000</f>
        <v>0.0011979166666666666</v>
      </c>
      <c r="R35" s="18">
        <f>1027/864000</f>
        <v>0.0011886574074074074</v>
      </c>
      <c r="S35" s="18">
        <f>7755/864000</f>
        <v>0.008975694444444444</v>
      </c>
      <c r="T35" s="18">
        <f>3721/864000</f>
        <v>0.004306712962962963</v>
      </c>
      <c r="U35" s="18">
        <f>4165/864000</f>
        <v>0.004820601851851852</v>
      </c>
      <c r="V35" s="18">
        <f>5788/864000</f>
        <v>0.006699074074074074</v>
      </c>
      <c r="W35" s="18">
        <f>7549/864000</f>
        <v>0.00873726851851852</v>
      </c>
      <c r="X35" s="18">
        <f>4093/864000</f>
        <v>0.004737268518518518</v>
      </c>
      <c r="Y35" s="18">
        <f>3575/864000</f>
        <v>0.004137731481481482</v>
      </c>
      <c r="Z35" s="18">
        <f>6073/864000</f>
        <v>0.007028935185185185</v>
      </c>
    </row>
    <row r="36" spans="1:26" ht="15">
      <c r="A36" s="7">
        <v>39</v>
      </c>
      <c r="B36" s="2" t="s">
        <v>82</v>
      </c>
      <c r="C36" s="2" t="s">
        <v>83</v>
      </c>
      <c r="D36" s="2" t="s">
        <v>28</v>
      </c>
      <c r="E36" s="12" t="s">
        <v>84</v>
      </c>
      <c r="F36" s="17">
        <f>1619/864000</f>
        <v>0.0018738425925925925</v>
      </c>
      <c r="G36" s="17">
        <f>1691/864000</f>
        <v>0.001957175925925926</v>
      </c>
      <c r="H36" s="16">
        <f>36829/864000</f>
        <v>0.042626157407407404</v>
      </c>
      <c r="I36" s="17">
        <f>12990/864000</f>
        <v>0.015034722222222222</v>
      </c>
      <c r="J36" s="16">
        <f>11401/864000</f>
        <v>0.013195601851851852</v>
      </c>
      <c r="K36" s="16">
        <f>4408/864000</f>
        <v>0.005101851851851852</v>
      </c>
      <c r="L36" s="16">
        <f>4647/864000</f>
        <v>0.005378472222222222</v>
      </c>
      <c r="M36" s="16">
        <f>11950/864000</f>
        <v>0.013831018518518519</v>
      </c>
      <c r="N36" s="16">
        <f>475/864000</f>
        <v>0.0005497685185185186</v>
      </c>
      <c r="O36" s="16">
        <f>451/864000</f>
        <v>0.0005219907407407407</v>
      </c>
      <c r="P36" s="16"/>
      <c r="Q36" s="16">
        <f>1061/864000</f>
        <v>0.0012280092592592592</v>
      </c>
      <c r="R36" s="16">
        <f>1074/864000</f>
        <v>0.0012430555555555556</v>
      </c>
      <c r="S36" s="16">
        <f>7897/864000</f>
        <v>0.009140046296296297</v>
      </c>
      <c r="T36" s="16">
        <f>3747/864000</f>
        <v>0.0043368055555555556</v>
      </c>
      <c r="U36" s="16">
        <f>4153/864000</f>
        <v>0.004806712962962963</v>
      </c>
      <c r="V36" s="16">
        <f>5965/864000</f>
        <v>0.006903935185185185</v>
      </c>
      <c r="W36" s="16">
        <f>7732/864000</f>
        <v>0.008949074074074075</v>
      </c>
      <c r="X36" s="16">
        <f>4075/864000</f>
        <v>0.0047164351851851855</v>
      </c>
      <c r="Y36" s="16">
        <f>3646/864000</f>
        <v>0.0042199074074074075</v>
      </c>
      <c r="Z36" s="16">
        <f>6262/864000</f>
        <v>0.007247685185185185</v>
      </c>
    </row>
    <row r="37" spans="1:26" ht="15">
      <c r="A37" s="8">
        <v>40</v>
      </c>
      <c r="B37" s="3" t="s">
        <v>85</v>
      </c>
      <c r="C37" s="3" t="s">
        <v>86</v>
      </c>
      <c r="D37" s="3" t="s">
        <v>28</v>
      </c>
      <c r="E37" s="13" t="s">
        <v>87</v>
      </c>
      <c r="F37" s="18">
        <f>1057/864000</f>
        <v>0.0012233796296296296</v>
      </c>
      <c r="G37" s="18">
        <f>1061/864000</f>
        <v>0.0012280092592592592</v>
      </c>
      <c r="H37" s="18">
        <f>4544/864000</f>
        <v>0.0052592592592592595</v>
      </c>
      <c r="I37" s="18">
        <f>11048/864000</f>
        <v>0.012787037037037038</v>
      </c>
      <c r="J37" s="18">
        <f>5869/864000</f>
        <v>0.006792824074074074</v>
      </c>
      <c r="K37" s="18">
        <f>4279/864000</f>
        <v>0.004952546296296296</v>
      </c>
      <c r="L37" s="18">
        <f>4441/864000</f>
        <v>0.005140046296296296</v>
      </c>
      <c r="M37" s="18">
        <f>10731/864000</f>
        <v>0.012420138888888889</v>
      </c>
      <c r="N37" s="18">
        <f>496/864000</f>
        <v>0.0005740740740740741</v>
      </c>
      <c r="O37" s="18">
        <f>473/864000</f>
        <v>0.0005474537037037038</v>
      </c>
      <c r="P37" s="18"/>
      <c r="Q37" s="18">
        <f>1050/864000</f>
        <v>0.0012152777777777778</v>
      </c>
      <c r="R37" s="18">
        <f>1058/864000</f>
        <v>0.001224537037037037</v>
      </c>
      <c r="S37" s="18">
        <f>7909/864000</f>
        <v>0.009153935185185185</v>
      </c>
      <c r="T37" s="18">
        <f>3833/864000</f>
        <v>0.004436342592592592</v>
      </c>
      <c r="U37" s="18">
        <f>4048/864000</f>
        <v>0.0046851851851851855</v>
      </c>
      <c r="V37" s="18">
        <f>5787/864000</f>
        <v>0.006697916666666666</v>
      </c>
      <c r="W37" s="18">
        <f>7484/864000</f>
        <v>0.008662037037037038</v>
      </c>
      <c r="X37" s="18">
        <f>3985/864000</f>
        <v>0.004612268518518518</v>
      </c>
      <c r="Y37" s="18">
        <f>3503/864000</f>
        <v>0.004054398148148148</v>
      </c>
      <c r="Z37" s="18">
        <f>6074/864000</f>
        <v>0.007030092592592593</v>
      </c>
    </row>
    <row r="38" spans="1:26" ht="15">
      <c r="A38" s="7">
        <v>41</v>
      </c>
      <c r="B38" s="2" t="s">
        <v>88</v>
      </c>
      <c r="C38" s="2" t="s">
        <v>88</v>
      </c>
      <c r="D38" s="2" t="s">
        <v>35</v>
      </c>
      <c r="E38" s="12" t="s">
        <v>44</v>
      </c>
      <c r="F38" s="16">
        <f>1097/864000</f>
        <v>0.0012696759259259258</v>
      </c>
      <c r="G38" s="16">
        <f>1090/864000</f>
        <v>0.001261574074074074</v>
      </c>
      <c r="H38" s="17">
        <f>5926/864000</f>
        <v>0.006858796296296296</v>
      </c>
      <c r="I38" s="17">
        <f>12990/864000</f>
        <v>0.015034722222222222</v>
      </c>
      <c r="J38" s="17">
        <f>7391/864000</f>
        <v>0.008554398148148148</v>
      </c>
      <c r="K38" s="17">
        <f>5527/864000</f>
        <v>0.00639699074074074</v>
      </c>
      <c r="L38" s="16">
        <f>4960/864000</f>
        <v>0.005740740740740741</v>
      </c>
      <c r="M38" s="16">
        <f>11223/864000</f>
        <v>0.012989583333333334</v>
      </c>
      <c r="N38" s="16">
        <f>604/864000</f>
        <v>0.0006990740740740741</v>
      </c>
      <c r="O38" s="16">
        <f>486/864000</f>
        <v>0.0005625</v>
      </c>
      <c r="P38" s="16"/>
      <c r="Q38" s="16">
        <f>1069/864000</f>
        <v>0.0012372685185185186</v>
      </c>
      <c r="R38" s="16">
        <f>1077/864000</f>
        <v>0.0012465277777777778</v>
      </c>
      <c r="S38" s="16">
        <f>7741/864000</f>
        <v>0.00895949074074074</v>
      </c>
      <c r="T38" s="16">
        <f>3734/864000</f>
        <v>0.0043217592592592596</v>
      </c>
      <c r="U38" s="16">
        <f>4143/864000</f>
        <v>0.004795138888888889</v>
      </c>
      <c r="V38" s="16">
        <f>5954/864000</f>
        <v>0.006891203703703704</v>
      </c>
      <c r="W38" s="16">
        <f>7731/864000</f>
        <v>0.008947916666666667</v>
      </c>
      <c r="X38" s="16">
        <f>4343/864000</f>
        <v>0.0050266203703703705</v>
      </c>
      <c r="Y38" s="16"/>
      <c r="Z38" s="16"/>
    </row>
    <row r="39" spans="1:26" ht="15">
      <c r="A39" s="8">
        <v>42</v>
      </c>
      <c r="B39" s="3" t="s">
        <v>89</v>
      </c>
      <c r="C39" s="3" t="s">
        <v>5</v>
      </c>
      <c r="D39" s="3" t="s">
        <v>35</v>
      </c>
      <c r="E39" s="13" t="s">
        <v>44</v>
      </c>
      <c r="F39" s="18">
        <f>1002/864000</f>
        <v>0.0011597222222222221</v>
      </c>
      <c r="G39" s="18">
        <f>1003/864000</f>
        <v>0.0011608796296296295</v>
      </c>
      <c r="H39" s="18">
        <f>4632/864000</f>
        <v>0.005361111111111111</v>
      </c>
      <c r="I39" s="18">
        <f>10685/864000</f>
        <v>0.012366898148148148</v>
      </c>
      <c r="J39" s="18">
        <f>5916/864000</f>
        <v>0.006847222222222222</v>
      </c>
      <c r="K39" s="18">
        <f>4282/864000</f>
        <v>0.0049560185185185185</v>
      </c>
      <c r="L39" s="18">
        <f>4464/864000</f>
        <v>0.005166666666666667</v>
      </c>
      <c r="M39" s="18">
        <f>10643/864000</f>
        <v>0.012318287037037037</v>
      </c>
      <c r="N39" s="18">
        <f>458/864000</f>
        <v>0.0005300925925925926</v>
      </c>
      <c r="O39" s="18">
        <f>468/864000</f>
        <v>0.0005416666666666666</v>
      </c>
      <c r="P39" s="18"/>
      <c r="Q39" s="18">
        <f>1019/864000</f>
        <v>0.0011793981481481482</v>
      </c>
      <c r="R39" s="18">
        <f>998/864000</f>
        <v>0.0011550925925925925</v>
      </c>
      <c r="S39" s="18">
        <f>7710/864000</f>
        <v>0.008923611111111111</v>
      </c>
      <c r="T39" s="18">
        <f>3573/864000</f>
        <v>0.004135416666666667</v>
      </c>
      <c r="U39" s="18">
        <f>4075/864000</f>
        <v>0.0047164351851851855</v>
      </c>
      <c r="V39" s="18">
        <f>5799/864000</f>
        <v>0.006711805555555556</v>
      </c>
      <c r="W39" s="18">
        <f>7461/864000</f>
        <v>0.008635416666666666</v>
      </c>
      <c r="X39" s="18">
        <f>4019/864000</f>
        <v>0.00465162037037037</v>
      </c>
      <c r="Y39" s="18">
        <f>3582/864000</f>
        <v>0.004145833333333333</v>
      </c>
      <c r="Z39" s="18">
        <f>5924/864000</f>
        <v>0.006856481481481482</v>
      </c>
    </row>
    <row r="40" spans="1:26" ht="15">
      <c r="A40" s="7">
        <v>43</v>
      </c>
      <c r="B40" s="2" t="s">
        <v>37</v>
      </c>
      <c r="C40" s="2" t="s">
        <v>90</v>
      </c>
      <c r="D40" s="2" t="s">
        <v>35</v>
      </c>
      <c r="E40" s="12" t="s">
        <v>36</v>
      </c>
      <c r="F40" s="16">
        <f>1067/864000</f>
        <v>0.0012349537037037036</v>
      </c>
      <c r="G40" s="16">
        <f>1072/864000</f>
        <v>0.0012407407407407408</v>
      </c>
      <c r="H40" s="16">
        <f>4567/864000</f>
        <v>0.00528587962962963</v>
      </c>
      <c r="I40" s="16">
        <f>10926/864000</f>
        <v>0.012645833333333334</v>
      </c>
      <c r="J40" s="16">
        <f>6366/864000</f>
        <v>0.007368055555555556</v>
      </c>
      <c r="K40" s="16">
        <f>4662/864000</f>
        <v>0.005395833333333333</v>
      </c>
      <c r="L40" s="16">
        <f>4470/864000</f>
        <v>0.0051736111111111115</v>
      </c>
      <c r="M40" s="16">
        <f>10620/864000</f>
        <v>0.012291666666666666</v>
      </c>
      <c r="N40" s="16">
        <f>455/864000</f>
        <v>0.0005266203703703703</v>
      </c>
      <c r="O40" s="16">
        <f>462/864000</f>
        <v>0.0005347222222222222</v>
      </c>
      <c r="P40" s="16"/>
      <c r="Q40" s="16">
        <f>1094/864000</f>
        <v>0.0012662037037037036</v>
      </c>
      <c r="R40" s="16">
        <f>1120/864000</f>
        <v>0.0012962962962962963</v>
      </c>
      <c r="S40" s="16">
        <f>8521/864000</f>
        <v>0.009862268518518518</v>
      </c>
      <c r="T40" s="16"/>
      <c r="U40" s="16"/>
      <c r="V40" s="16"/>
      <c r="W40" s="16"/>
      <c r="X40" s="16"/>
      <c r="Y40" s="16"/>
      <c r="Z40" s="16"/>
    </row>
    <row r="41" spans="1:26" ht="15">
      <c r="A41" s="8">
        <v>44</v>
      </c>
      <c r="B41" s="3" t="s">
        <v>91</v>
      </c>
      <c r="C41" s="3" t="s">
        <v>45</v>
      </c>
      <c r="D41" s="3" t="s">
        <v>35</v>
      </c>
      <c r="E41" s="13" t="s">
        <v>59</v>
      </c>
      <c r="F41" s="18">
        <f>1087/864000</f>
        <v>0.0012581018518518518</v>
      </c>
      <c r="G41" s="18">
        <f>1043/864000</f>
        <v>0.001207175925925926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">
      <c r="A42" s="7">
        <v>45</v>
      </c>
      <c r="B42" s="2" t="s">
        <v>92</v>
      </c>
      <c r="C42" s="2" t="s">
        <v>93</v>
      </c>
      <c r="D42" s="2" t="s">
        <v>35</v>
      </c>
      <c r="E42" s="12" t="s">
        <v>44</v>
      </c>
      <c r="F42" s="16">
        <f>1064/864000</f>
        <v>0.0012314814814814814</v>
      </c>
      <c r="G42" s="16">
        <f>1041/864000</f>
        <v>0.0012048611111111112</v>
      </c>
      <c r="H42" s="16">
        <f>5626/864000</f>
        <v>0.006511574074074074</v>
      </c>
      <c r="I42" s="16">
        <f>11876/864000</f>
        <v>0.01374537037037037</v>
      </c>
      <c r="J42" s="16">
        <f>6439/864000</f>
        <v>0.0074525462962962965</v>
      </c>
      <c r="K42" s="16">
        <f>4735/864000</f>
        <v>0.005480324074074074</v>
      </c>
      <c r="L42" s="16">
        <f>4938/864000</f>
        <v>0.0057152777777777775</v>
      </c>
      <c r="M42" s="16">
        <f>11484/864000</f>
        <v>0.013291666666666667</v>
      </c>
      <c r="N42" s="16">
        <f>485/864000</f>
        <v>0.0005613425925925926</v>
      </c>
      <c r="O42" s="16">
        <f>491/864000</f>
        <v>0.0005682870370370371</v>
      </c>
      <c r="P42" s="16"/>
      <c r="Q42" s="16">
        <f>1054/864000</f>
        <v>0.0012199074074074074</v>
      </c>
      <c r="R42" s="16">
        <f>1048/864000</f>
        <v>0.001212962962962963</v>
      </c>
      <c r="S42" s="16">
        <f>8648/864000</f>
        <v>0.01000925925925926</v>
      </c>
      <c r="T42" s="16">
        <f>4008/864000</f>
        <v>0.004638888888888889</v>
      </c>
      <c r="U42" s="16">
        <f>4468/864000</f>
        <v>0.005171296296296296</v>
      </c>
      <c r="V42" s="16">
        <f>6224/864000</f>
        <v>0.0072037037037037035</v>
      </c>
      <c r="W42" s="16">
        <f>8135/864000</f>
        <v>0.009415509259259259</v>
      </c>
      <c r="X42" s="16">
        <f>4363/864000</f>
        <v>0.0050497685185185185</v>
      </c>
      <c r="Y42" s="16">
        <f>3866/864000</f>
        <v>0.004474537037037037</v>
      </c>
      <c r="Z42" s="16">
        <f>6398/864000</f>
        <v>0.0074050925925925925</v>
      </c>
    </row>
    <row r="43" spans="1:26" ht="15">
      <c r="A43" s="8">
        <v>46</v>
      </c>
      <c r="B43" s="3" t="s">
        <v>23</v>
      </c>
      <c r="C43" s="3" t="s">
        <v>94</v>
      </c>
      <c r="D43" s="3" t="s">
        <v>95</v>
      </c>
      <c r="E43" s="13" t="s">
        <v>96</v>
      </c>
      <c r="F43" s="18">
        <f>1149/864000</f>
        <v>0.001329861111111111</v>
      </c>
      <c r="G43" s="18">
        <f>1125/864000</f>
        <v>0.0013020833333333333</v>
      </c>
      <c r="H43" s="18">
        <f>5276/864000</f>
        <v>0.006106481481481482</v>
      </c>
      <c r="I43" s="17">
        <f>12990/864000</f>
        <v>0.015034722222222222</v>
      </c>
      <c r="J43" s="17">
        <f>7391/864000</f>
        <v>0.008554398148148148</v>
      </c>
      <c r="K43" s="17">
        <f>5527/864000</f>
        <v>0.00639699074074074</v>
      </c>
      <c r="L43" s="18">
        <f>4934/864000</f>
        <v>0.005710648148148148</v>
      </c>
      <c r="M43" s="18">
        <f>11693/864000</f>
        <v>0.013533564814814814</v>
      </c>
      <c r="N43" s="18">
        <f>505/864000</f>
        <v>0.0005844907407407408</v>
      </c>
      <c r="O43" s="18">
        <f>503/864000</f>
        <v>0.0005821759259259259</v>
      </c>
      <c r="P43" s="18"/>
      <c r="Q43" s="18">
        <f>1120/864000</f>
        <v>0.0012962962962962963</v>
      </c>
      <c r="R43" s="18">
        <f>1115/864000</f>
        <v>0.0012905092592592593</v>
      </c>
      <c r="S43" s="18">
        <f>8529/864000</f>
        <v>0.009871527777777778</v>
      </c>
      <c r="T43" s="18">
        <f>3980/864000</f>
        <v>0.004606481481481481</v>
      </c>
      <c r="U43" s="18">
        <f>4507/864000</f>
        <v>0.005216435185185185</v>
      </c>
      <c r="V43" s="18">
        <f>6302/864000</f>
        <v>0.007293981481481481</v>
      </c>
      <c r="W43" s="18">
        <f>8131/864000</f>
        <v>0.00941087962962963</v>
      </c>
      <c r="X43" s="18">
        <f>4392/864000</f>
        <v>0.005083333333333333</v>
      </c>
      <c r="Y43" s="18">
        <f>20150/864000</f>
        <v>0.02332175925925926</v>
      </c>
      <c r="Z43" s="18">
        <f>7065/864000</f>
        <v>0.008177083333333333</v>
      </c>
    </row>
    <row r="44" spans="1:26" ht="15">
      <c r="A44" s="7">
        <v>47</v>
      </c>
      <c r="B44" s="2" t="s">
        <v>97</v>
      </c>
      <c r="C44" s="2" t="s">
        <v>97</v>
      </c>
      <c r="D44" s="2" t="s">
        <v>14</v>
      </c>
      <c r="E44" s="12" t="s">
        <v>98</v>
      </c>
      <c r="F44" s="16">
        <f>1118/864000</f>
        <v>0.0012939814814814815</v>
      </c>
      <c r="G44" s="16">
        <f>1102/864000</f>
        <v>0.001275462962962963</v>
      </c>
      <c r="H44" s="16">
        <f>4829/864000</f>
        <v>0.00558912037037037</v>
      </c>
      <c r="I44" s="16">
        <f>11636/864000</f>
        <v>0.013467592592592592</v>
      </c>
      <c r="J44" s="16">
        <f>6222/864000</f>
        <v>0.007201388888888889</v>
      </c>
      <c r="K44" s="16">
        <f>4540/864000</f>
        <v>0.00525462962962963</v>
      </c>
      <c r="L44" s="16">
        <f>4705/864000</f>
        <v>0.005445601851851852</v>
      </c>
      <c r="M44" s="16">
        <f>11329/864000</f>
        <v>0.013112268518518518</v>
      </c>
      <c r="N44" s="16">
        <f>488/864000</f>
        <v>0.0005648148148148149</v>
      </c>
      <c r="O44" s="16">
        <f>488/864000</f>
        <v>0.0005648148148148149</v>
      </c>
      <c r="P44" s="16"/>
      <c r="Q44" s="16">
        <f>1111/864000</f>
        <v>0.0012858796296296297</v>
      </c>
      <c r="R44" s="16">
        <f>1097/864000</f>
        <v>0.0012696759259259258</v>
      </c>
      <c r="S44" s="16">
        <f>8063/864000</f>
        <v>0.009332175925925926</v>
      </c>
      <c r="T44" s="16">
        <f>3905/864000</f>
        <v>0.004519675925925926</v>
      </c>
      <c r="U44" s="16">
        <f>4365/864000</f>
        <v>0.005052083333333333</v>
      </c>
      <c r="V44" s="16">
        <f>6123/864000</f>
        <v>0.007086805555555555</v>
      </c>
      <c r="W44" s="16">
        <f>7958/864000</f>
        <v>0.009210648148148148</v>
      </c>
      <c r="X44" s="16">
        <f>4288/864000</f>
        <v>0.004962962962962963</v>
      </c>
      <c r="Y44" s="16">
        <f>3831/864000</f>
        <v>0.004434027777777778</v>
      </c>
      <c r="Z44" s="16">
        <f>6324/864000</f>
        <v>0.007319444444444444</v>
      </c>
    </row>
    <row r="45" spans="1:26" ht="15">
      <c r="A45" s="8">
        <v>48</v>
      </c>
      <c r="B45" s="3" t="s">
        <v>86</v>
      </c>
      <c r="C45" s="3" t="s">
        <v>99</v>
      </c>
      <c r="D45" s="3" t="s">
        <v>6</v>
      </c>
      <c r="E45" s="13" t="s">
        <v>100</v>
      </c>
      <c r="F45" s="18">
        <f>1319/864000</f>
        <v>0.0015266203703703705</v>
      </c>
      <c r="G45" s="18">
        <f>1391/864000</f>
        <v>0.0016099537037037037</v>
      </c>
      <c r="H45" s="18">
        <f>5303/864000</f>
        <v>0.006137731481481482</v>
      </c>
      <c r="I45" s="18">
        <f>12410/864000</f>
        <v>0.014363425925925925</v>
      </c>
      <c r="J45" s="18">
        <f>7091/864000</f>
        <v>0.008207175925925927</v>
      </c>
      <c r="K45" s="18">
        <f>5227/864000</f>
        <v>0.0060497685185185186</v>
      </c>
      <c r="L45" s="18">
        <f>5236/864000</f>
        <v>0.006060185185185185</v>
      </c>
      <c r="M45" s="18">
        <f>13530/864000</f>
        <v>0.01565972222222222</v>
      </c>
      <c r="N45" s="18">
        <f>595/864000</f>
        <v>0.0006886574074074074</v>
      </c>
      <c r="O45" s="18">
        <f>580/864000</f>
        <v>0.0006712962962962962</v>
      </c>
      <c r="P45" s="18"/>
      <c r="Q45" s="18">
        <f>1196/864000</f>
        <v>0.0013842592592592593</v>
      </c>
      <c r="R45" s="18">
        <f>1199/864000</f>
        <v>0.0013877314814814815</v>
      </c>
      <c r="S45" s="18">
        <f>8816/864000</f>
        <v>0.010203703703703704</v>
      </c>
      <c r="T45" s="18">
        <f>4010/864000</f>
        <v>0.004641203703703704</v>
      </c>
      <c r="U45" s="18">
        <f>4698/864000</f>
        <v>0.0054375</v>
      </c>
      <c r="V45" s="18">
        <f>6549/864000</f>
        <v>0.007579861111111111</v>
      </c>
      <c r="W45" s="18">
        <f>8402/864000</f>
        <v>0.009724537037037037</v>
      </c>
      <c r="X45" s="18">
        <f>4586/864000</f>
        <v>0.005307870370370371</v>
      </c>
      <c r="Y45" s="18">
        <f>4066/864000</f>
        <v>0.004706018518518518</v>
      </c>
      <c r="Z45" s="18">
        <f>6980/864000</f>
        <v>0.008078703703703704</v>
      </c>
    </row>
    <row r="46" spans="1:26" ht="15">
      <c r="A46" s="7">
        <v>49</v>
      </c>
      <c r="B46" s="2" t="s">
        <v>101</v>
      </c>
      <c r="C46" s="2" t="s">
        <v>102</v>
      </c>
      <c r="D46" s="2" t="s">
        <v>103</v>
      </c>
      <c r="E46" s="12" t="s">
        <v>104</v>
      </c>
      <c r="F46" s="16">
        <f>1144/864000</f>
        <v>0.001324074074074074</v>
      </c>
      <c r="G46" s="16">
        <f>1139/864000</f>
        <v>0.001318287037037037</v>
      </c>
      <c r="H46" s="16">
        <f>5243/864000</f>
        <v>0.006068287037037037</v>
      </c>
      <c r="I46" s="16">
        <f>12041/864000</f>
        <v>0.013936342592592592</v>
      </c>
      <c r="J46" s="16">
        <f>6528/864000</f>
        <v>0.007555555555555556</v>
      </c>
      <c r="K46" s="16">
        <f>4709/864000</f>
        <v>0.005450231481481481</v>
      </c>
      <c r="L46" s="16">
        <f>5000/864000</f>
        <v>0.005787037037037037</v>
      </c>
      <c r="M46" s="16">
        <f>11749/864000</f>
        <v>0.01359837962962963</v>
      </c>
      <c r="N46" s="16">
        <f>504/864000</f>
        <v>0.0005833333333333334</v>
      </c>
      <c r="O46" s="16">
        <f>505/864000</f>
        <v>0.0005844907407407408</v>
      </c>
      <c r="P46" s="16"/>
      <c r="Q46" s="16">
        <f>1151/864000</f>
        <v>0.0013321759259259259</v>
      </c>
      <c r="R46" s="16">
        <f>1125/864000</f>
        <v>0.0013020833333333333</v>
      </c>
      <c r="S46" s="16">
        <f>8339/864000</f>
        <v>0.009651620370370371</v>
      </c>
      <c r="T46" s="16">
        <f>3879/864000</f>
        <v>0.004489583333333333</v>
      </c>
      <c r="U46" s="16">
        <f>4402/864000</f>
        <v>0.005094907407407407</v>
      </c>
      <c r="V46" s="16">
        <f>6240/864000</f>
        <v>0.007222222222222222</v>
      </c>
      <c r="W46" s="16">
        <f>7965/864000</f>
        <v>0.00921875</v>
      </c>
      <c r="X46" s="16">
        <f>4330/864000</f>
        <v>0.005011574074074074</v>
      </c>
      <c r="Y46" s="16">
        <f>3825/864000</f>
        <v>0.004427083333333333</v>
      </c>
      <c r="Z46" s="16">
        <f>6475/864000</f>
        <v>0.007494212962962963</v>
      </c>
    </row>
    <row r="47" spans="1:26" ht="15">
      <c r="A47" s="8">
        <v>50</v>
      </c>
      <c r="B47" s="3" t="s">
        <v>105</v>
      </c>
      <c r="C47" s="3" t="s">
        <v>106</v>
      </c>
      <c r="D47" s="3" t="s">
        <v>6</v>
      </c>
      <c r="E47" s="13" t="s">
        <v>107</v>
      </c>
      <c r="F47" s="18">
        <f>1126/864000</f>
        <v>0.0013032407407407407</v>
      </c>
      <c r="G47" s="18">
        <f>1102/864000</f>
        <v>0.001275462962962963</v>
      </c>
      <c r="H47" s="18">
        <f>4909/864000</f>
        <v>0.005681712962962963</v>
      </c>
      <c r="I47" s="18">
        <f>11790/864000</f>
        <v>0.013645833333333333</v>
      </c>
      <c r="J47" s="18">
        <f>6436/864000</f>
        <v>0.007449074074074074</v>
      </c>
      <c r="K47" s="18">
        <f>4639/864000</f>
        <v>0.005369212962962963</v>
      </c>
      <c r="L47" s="18">
        <f>4856/864000</f>
        <v>0.00562037037037037</v>
      </c>
      <c r="M47" s="17">
        <f>17999/864000</f>
        <v>0.020832175925925928</v>
      </c>
      <c r="N47" s="17">
        <f>904/864000</f>
        <v>0.0010462962962962963</v>
      </c>
      <c r="O47" s="17">
        <f>1036/864000</f>
        <v>0.001199074074074074</v>
      </c>
      <c r="P47" s="18"/>
      <c r="Q47" s="18">
        <f>1125/864000</f>
        <v>0.0013020833333333333</v>
      </c>
      <c r="R47" s="18">
        <f>1101/864000</f>
        <v>0.0012743055555555557</v>
      </c>
      <c r="S47" s="18">
        <f>8458/864000</f>
        <v>0.009789351851851851</v>
      </c>
      <c r="T47" s="18">
        <f>3879/864000</f>
        <v>0.004489583333333333</v>
      </c>
      <c r="U47" s="18">
        <f>4533/864000</f>
        <v>0.005246527777777778</v>
      </c>
      <c r="V47" s="18">
        <f>6244/864000</f>
        <v>0.0072268518518518515</v>
      </c>
      <c r="W47" s="18">
        <f>8084/864000</f>
        <v>0.009356481481481481</v>
      </c>
      <c r="X47" s="18">
        <f>4411/864000</f>
        <v>0.005105324074074074</v>
      </c>
      <c r="Y47" s="18">
        <f>3849/864000</f>
        <v>0.004454861111111111</v>
      </c>
      <c r="Z47" s="18">
        <f>6604/864000</f>
        <v>0.007643518518518518</v>
      </c>
    </row>
    <row r="48" spans="1:26" ht="15">
      <c r="A48" s="7">
        <v>51</v>
      </c>
      <c r="B48" s="2" t="s">
        <v>108</v>
      </c>
      <c r="C48" s="2" t="s">
        <v>23</v>
      </c>
      <c r="D48" s="2" t="s">
        <v>35</v>
      </c>
      <c r="E48" s="12" t="s">
        <v>109</v>
      </c>
      <c r="F48" s="16">
        <f>1086/864000</f>
        <v>0.0012569444444444444</v>
      </c>
      <c r="G48" s="16">
        <f>1089/864000</f>
        <v>0.0012604166666666666</v>
      </c>
      <c r="H48" s="16">
        <f>4935/864000</f>
        <v>0.005711805555555556</v>
      </c>
      <c r="I48" s="16">
        <f>11716/864000</f>
        <v>0.013560185185185186</v>
      </c>
      <c r="J48" s="16">
        <f>6272/864000</f>
        <v>0.00725925925925926</v>
      </c>
      <c r="K48" s="16">
        <f>4470/864000</f>
        <v>0.0051736111111111115</v>
      </c>
      <c r="L48" s="16">
        <f>4827/864000</f>
        <v>0.005586805555555556</v>
      </c>
      <c r="M48" s="16">
        <f>11386/864000</f>
        <v>0.01317824074074074</v>
      </c>
      <c r="N48" s="16">
        <f>545/864000</f>
        <v>0.000630787037037037</v>
      </c>
      <c r="O48" s="16">
        <f>483/864000</f>
        <v>0.0005590277777777778</v>
      </c>
      <c r="P48" s="16"/>
      <c r="Q48" s="16">
        <f>1080/864000</f>
        <v>0.00125</v>
      </c>
      <c r="R48" s="16">
        <f>1087/864000</f>
        <v>0.0012581018518518518</v>
      </c>
      <c r="S48" s="16">
        <f>8469/864000</f>
        <v>0.009802083333333333</v>
      </c>
      <c r="T48" s="16">
        <f>3786/864000</f>
        <v>0.004381944444444444</v>
      </c>
      <c r="U48" s="16">
        <f>4326/864000</f>
        <v>0.005006944444444444</v>
      </c>
      <c r="V48" s="16">
        <f>6054/864000</f>
        <v>0.007006944444444444</v>
      </c>
      <c r="W48" s="16">
        <f>7987/864000</f>
        <v>0.009244212962962963</v>
      </c>
      <c r="X48" s="16">
        <f>4246/864000</f>
        <v>0.004914351851851852</v>
      </c>
      <c r="Y48" s="16">
        <f>3771/864000</f>
        <v>0.004364583333333333</v>
      </c>
      <c r="Z48" s="16">
        <f>6378/864000</f>
        <v>0.0073819444444444444</v>
      </c>
    </row>
    <row r="49" spans="1:26" ht="15">
      <c r="A49" s="8">
        <v>52</v>
      </c>
      <c r="B49" s="3" t="s">
        <v>110</v>
      </c>
      <c r="C49" s="3" t="s">
        <v>111</v>
      </c>
      <c r="D49" s="3" t="s">
        <v>14</v>
      </c>
      <c r="E49" s="13" t="s">
        <v>112</v>
      </c>
      <c r="F49" s="18">
        <f>1163/864000</f>
        <v>0.001346064814814815</v>
      </c>
      <c r="G49" s="18">
        <f>1112/864000</f>
        <v>0.001287037037037037</v>
      </c>
      <c r="H49" s="18">
        <f>5279/864000</f>
        <v>0.006109953703703703</v>
      </c>
      <c r="I49" s="18">
        <f>12690/864000</f>
        <v>0.0146875</v>
      </c>
      <c r="J49" s="18">
        <f>6999/864000</f>
        <v>0.008100694444444445</v>
      </c>
      <c r="K49" s="18">
        <f>5089/864000</f>
        <v>0.005890046296296296</v>
      </c>
      <c r="L49" s="18">
        <f>5469/864000</f>
        <v>0.006329861111111111</v>
      </c>
      <c r="M49" s="18">
        <f>13027/864000</f>
        <v>0.015077546296296295</v>
      </c>
      <c r="N49" s="18">
        <f>515/864000</f>
        <v>0.0005960648148148148</v>
      </c>
      <c r="O49" s="18">
        <f>488/864000</f>
        <v>0.0005648148148148149</v>
      </c>
      <c r="P49" s="18"/>
      <c r="Q49" s="18">
        <f>1103/864000</f>
        <v>0.0012766203703703705</v>
      </c>
      <c r="R49" s="18">
        <f>1105/864000</f>
        <v>0.0012789351851851853</v>
      </c>
      <c r="S49" s="18">
        <f>8867/864000</f>
        <v>0.010262731481481482</v>
      </c>
      <c r="T49" s="18">
        <f>4164/864000</f>
        <v>0.004819444444444445</v>
      </c>
      <c r="U49" s="18">
        <f>4673/864000</f>
        <v>0.005408564814814815</v>
      </c>
      <c r="V49" s="18">
        <f>6576/864000</f>
        <v>0.007611111111111111</v>
      </c>
      <c r="W49" s="18">
        <f>9142/864000</f>
        <v>0.010581018518518519</v>
      </c>
      <c r="X49" s="17">
        <f>4886/864000</f>
        <v>0.005655092592592593</v>
      </c>
      <c r="Y49" s="17">
        <f>4744/864000</f>
        <v>0.0054907407407407405</v>
      </c>
      <c r="Z49" s="17">
        <f>8030/864000</f>
        <v>0.009293981481481481</v>
      </c>
    </row>
    <row r="50" spans="1:26" ht="15">
      <c r="A50" s="7">
        <v>53</v>
      </c>
      <c r="B50" s="2" t="s">
        <v>113</v>
      </c>
      <c r="C50" s="2" t="s">
        <v>114</v>
      </c>
      <c r="D50" s="2" t="s">
        <v>28</v>
      </c>
      <c r="E50" s="12" t="s">
        <v>87</v>
      </c>
      <c r="F50" s="16">
        <f>1161/864000</f>
        <v>0.00134375</v>
      </c>
      <c r="G50" s="16">
        <f>1148/864000</f>
        <v>0.0013287037037037037</v>
      </c>
      <c r="H50" s="16">
        <f>5059/864000</f>
        <v>0.005855324074074074</v>
      </c>
      <c r="I50" s="16">
        <f>11978/864000</f>
        <v>0.013863425925925927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>
      <c r="A51" s="8">
        <v>54</v>
      </c>
      <c r="B51" s="3" t="s">
        <v>115</v>
      </c>
      <c r="C51" s="3" t="s">
        <v>102</v>
      </c>
      <c r="D51" s="3" t="s">
        <v>35</v>
      </c>
      <c r="E51" s="13" t="s">
        <v>36</v>
      </c>
      <c r="F51" s="18">
        <f>1050/864000</f>
        <v>0.0012152777777777778</v>
      </c>
      <c r="G51" s="18">
        <f>1071/864000</f>
        <v>0.0012395833333333334</v>
      </c>
      <c r="H51" s="18">
        <f>4911/864000</f>
        <v>0.005684027777777777</v>
      </c>
      <c r="I51" s="18">
        <f>11677/864000</f>
        <v>0.013515046296296296</v>
      </c>
      <c r="J51" s="18">
        <f>6491/864000</f>
        <v>0.007512731481481481</v>
      </c>
      <c r="K51" s="18"/>
      <c r="L51" s="18"/>
      <c r="M51" s="18"/>
      <c r="N51" s="18"/>
      <c r="O51" s="18"/>
      <c r="P51" s="18"/>
      <c r="Q51" s="17">
        <f>1055/864000</f>
        <v>0.0012210648148148148</v>
      </c>
      <c r="R51" s="17">
        <f>1076/864000</f>
        <v>0.0012453703703703704</v>
      </c>
      <c r="S51" s="18">
        <f>9458/864000</f>
        <v>0.010946759259259259</v>
      </c>
      <c r="T51" s="18">
        <f>4343/864000</f>
        <v>0.0050266203703703705</v>
      </c>
      <c r="U51" s="18">
        <f>4596/864000</f>
        <v>0.005319444444444444</v>
      </c>
      <c r="V51" s="18">
        <f>6771/864000</f>
        <v>0.007836805555555555</v>
      </c>
      <c r="W51" s="18">
        <f>8814/864000</f>
        <v>0.010201388888888888</v>
      </c>
      <c r="X51" s="18">
        <f>4362/864000</f>
        <v>0.005048611111111111</v>
      </c>
      <c r="Y51" s="18">
        <f>3966/864000</f>
        <v>0.004590277777777778</v>
      </c>
      <c r="Z51" s="18">
        <f>6573/864000</f>
        <v>0.007607638888888889</v>
      </c>
    </row>
    <row r="52" spans="1:26" ht="15">
      <c r="A52" s="7">
        <v>55</v>
      </c>
      <c r="B52" s="2" t="s">
        <v>116</v>
      </c>
      <c r="C52" s="2" t="s">
        <v>117</v>
      </c>
      <c r="D52" s="2" t="s">
        <v>35</v>
      </c>
      <c r="E52" s="12" t="s">
        <v>36</v>
      </c>
      <c r="F52" s="16">
        <f>1090/864000</f>
        <v>0.001261574074074074</v>
      </c>
      <c r="G52" s="16">
        <f>1081/864000</f>
        <v>0.0012511574074074074</v>
      </c>
      <c r="H52" s="16">
        <f>5164/864000</f>
        <v>0.005976851851851852</v>
      </c>
      <c r="I52" s="16">
        <f>12010/864000</f>
        <v>0.013900462962962963</v>
      </c>
      <c r="J52" s="16">
        <f>6567/864000</f>
        <v>0.007600694444444445</v>
      </c>
      <c r="K52" s="16">
        <f>4622/864000</f>
        <v>0.005349537037037037</v>
      </c>
      <c r="L52" s="16">
        <f>5057/864000</f>
        <v>0.005853009259259259</v>
      </c>
      <c r="M52" s="16">
        <f>11556/864000</f>
        <v>0.013375</v>
      </c>
      <c r="N52" s="16">
        <f>496/864000</f>
        <v>0.0005740740740740741</v>
      </c>
      <c r="O52" s="16">
        <f>481/864000</f>
        <v>0.000556712962962963</v>
      </c>
      <c r="P52" s="16"/>
      <c r="Q52" s="16">
        <f>1073/864000</f>
        <v>0.0012418981481481482</v>
      </c>
      <c r="R52" s="16">
        <f>1046/864000</f>
        <v>0.0012106481481481482</v>
      </c>
      <c r="S52" s="16">
        <f>8470/864000</f>
        <v>0.00980324074074074</v>
      </c>
      <c r="T52" s="16">
        <f>3918/864000</f>
        <v>0.004534722222222222</v>
      </c>
      <c r="U52" s="16">
        <f>4396/864000</f>
        <v>0.0050879629629629625</v>
      </c>
      <c r="V52" s="16">
        <f>6256/864000</f>
        <v>0.007240740740740741</v>
      </c>
      <c r="W52" s="16">
        <f>8030/864000</f>
        <v>0.009293981481481481</v>
      </c>
      <c r="X52" s="16">
        <f>4326/864000</f>
        <v>0.005006944444444444</v>
      </c>
      <c r="Y52" s="16">
        <f>3862/864000</f>
        <v>0.004469907407407408</v>
      </c>
      <c r="Z52" s="16">
        <f>6540/864000</f>
        <v>0.007569444444444445</v>
      </c>
    </row>
    <row r="53" spans="1:26" ht="15">
      <c r="A53" s="8">
        <v>56</v>
      </c>
      <c r="B53" s="3" t="s">
        <v>118</v>
      </c>
      <c r="C53" s="3" t="s">
        <v>119</v>
      </c>
      <c r="D53" s="3" t="s">
        <v>14</v>
      </c>
      <c r="E53" s="13" t="s">
        <v>120</v>
      </c>
      <c r="F53" s="18">
        <f>1135/864000</f>
        <v>0.0013136574074074075</v>
      </c>
      <c r="G53" s="18">
        <f>1134/864000</f>
        <v>0.0013125</v>
      </c>
      <c r="H53" s="18">
        <f>4997/864000</f>
        <v>0.005783564814814815</v>
      </c>
      <c r="I53" s="18">
        <f>12020/864000</f>
        <v>0.013912037037037037</v>
      </c>
      <c r="J53" s="18">
        <f>6385/864000</f>
        <v>0.0073900462962962965</v>
      </c>
      <c r="K53" s="18">
        <f>4560/864000</f>
        <v>0.005277777777777778</v>
      </c>
      <c r="L53" s="18">
        <f>4840/864000</f>
        <v>0.005601851851851852</v>
      </c>
      <c r="M53" s="18">
        <f>11573/864000</f>
        <v>0.013394675925925926</v>
      </c>
      <c r="N53" s="18">
        <f>494/864000</f>
        <v>0.0005717592592592593</v>
      </c>
      <c r="O53" s="18">
        <f>496/864000</f>
        <v>0.0005740740740740741</v>
      </c>
      <c r="P53" s="18"/>
      <c r="Q53" s="18">
        <f>1200/864000</f>
        <v>0.001388888888888889</v>
      </c>
      <c r="R53" s="18">
        <f>1119/864000</f>
        <v>0.0012951388888888889</v>
      </c>
      <c r="S53" s="18">
        <f>8133/864000</f>
        <v>0.009413194444444445</v>
      </c>
      <c r="T53" s="18">
        <f>3899/864000</f>
        <v>0.004512731481481481</v>
      </c>
      <c r="U53" s="18">
        <f>4308/864000</f>
        <v>0.004986111111111111</v>
      </c>
      <c r="V53" s="18">
        <f>11805/864000</f>
        <v>0.013663194444444445</v>
      </c>
      <c r="W53" s="18">
        <f>8083/864000</f>
        <v>0.009355324074074075</v>
      </c>
      <c r="X53" s="18">
        <f>4252/864000</f>
        <v>0.004921296296296296</v>
      </c>
      <c r="Y53" s="18">
        <f>3852/864000</f>
        <v>0.004458333333333333</v>
      </c>
      <c r="Z53" s="18">
        <f>6485/864000</f>
        <v>0.007505787037037037</v>
      </c>
    </row>
    <row r="54" spans="1:26" ht="15">
      <c r="A54" s="7">
        <v>57</v>
      </c>
      <c r="B54" s="2" t="s">
        <v>121</v>
      </c>
      <c r="C54" s="2" t="s">
        <v>122</v>
      </c>
      <c r="D54" s="2" t="s">
        <v>28</v>
      </c>
      <c r="E54" s="12" t="s">
        <v>87</v>
      </c>
      <c r="F54" s="16">
        <f>1105/864000</f>
        <v>0.0012789351851851853</v>
      </c>
      <c r="G54" s="16">
        <f>1102/864000</f>
        <v>0.001275462962962963</v>
      </c>
      <c r="H54" s="16">
        <f>4867/864000</f>
        <v>0.005633101851851852</v>
      </c>
      <c r="I54" s="16">
        <f>11394/864000</f>
        <v>0.0131875</v>
      </c>
      <c r="J54" s="16">
        <f>6253/864000</f>
        <v>0.007237268518518519</v>
      </c>
      <c r="K54" s="16">
        <f>4548/864000</f>
        <v>0.005263888888888889</v>
      </c>
      <c r="L54" s="16">
        <f>4674/864000</f>
        <v>0.005409722222222222</v>
      </c>
      <c r="M54" s="16">
        <f>11125/864000</f>
        <v>0.012876157407407407</v>
      </c>
      <c r="N54" s="16">
        <f>500/864000</f>
        <v>0.0005787037037037037</v>
      </c>
      <c r="O54" s="16">
        <f>482/864000</f>
        <v>0.0005578703703703704</v>
      </c>
      <c r="P54" s="16"/>
      <c r="Q54" s="16">
        <f>1099/864000</f>
        <v>0.0012719907407407406</v>
      </c>
      <c r="R54" s="16">
        <f>1088/864000</f>
        <v>0.0012592592592592592</v>
      </c>
      <c r="S54" s="16">
        <f>7748/864000</f>
        <v>0.008967592592592593</v>
      </c>
      <c r="T54" s="16">
        <f>3786/864000</f>
        <v>0.004381944444444444</v>
      </c>
      <c r="U54" s="16">
        <f>4198/864000</f>
        <v>0.004858796296296296</v>
      </c>
      <c r="V54" s="16">
        <f>5893/864000</f>
        <v>0.006820601851851852</v>
      </c>
      <c r="W54" s="16">
        <f>7693/864000</f>
        <v>0.008903935185185185</v>
      </c>
      <c r="X54" s="16">
        <f>4249/864000</f>
        <v>0.0049178240740740745</v>
      </c>
      <c r="Y54" s="16">
        <f>3753/864000</f>
        <v>0.00434375</v>
      </c>
      <c r="Z54" s="16">
        <f>6251/864000</f>
        <v>0.0072349537037037035</v>
      </c>
    </row>
    <row r="55" spans="1:26" ht="15">
      <c r="A55" s="8">
        <v>58</v>
      </c>
      <c r="B55" s="3" t="s">
        <v>123</v>
      </c>
      <c r="C55" s="3" t="s">
        <v>123</v>
      </c>
      <c r="D55" s="3" t="s">
        <v>14</v>
      </c>
      <c r="E55" s="13" t="s">
        <v>124</v>
      </c>
      <c r="F55" s="18"/>
      <c r="G55" s="18"/>
      <c r="H55" s="18">
        <f>5041/864000</f>
        <v>0.005834490740740741</v>
      </c>
      <c r="I55" s="18">
        <f>12015/864000</f>
        <v>0.01390625</v>
      </c>
      <c r="J55" s="18">
        <f>6483/864000</f>
        <v>0.007503472222222222</v>
      </c>
      <c r="K55" s="18">
        <f>7807/864000</f>
        <v>0.00903587962962963</v>
      </c>
      <c r="L55" s="18">
        <f>5144/864000</f>
        <v>0.005953703703703704</v>
      </c>
      <c r="M55" s="18">
        <f>11889/864000</f>
        <v>0.013760416666666667</v>
      </c>
      <c r="N55" s="18">
        <f>491/864000</f>
        <v>0.0005682870370370371</v>
      </c>
      <c r="O55" s="18">
        <f>481/864000</f>
        <v>0.000556712962962963</v>
      </c>
      <c r="P55" s="18"/>
      <c r="Q55" s="18">
        <f>1126/864000</f>
        <v>0.0013032407407407407</v>
      </c>
      <c r="R55" s="18">
        <f>1112/864000</f>
        <v>0.001287037037037037</v>
      </c>
      <c r="S55" s="18"/>
      <c r="T55" s="18"/>
      <c r="U55" s="18"/>
      <c r="V55" s="18"/>
      <c r="W55" s="18"/>
      <c r="X55" s="18"/>
      <c r="Y55" s="18"/>
      <c r="Z55" s="18"/>
    </row>
    <row r="56" spans="1:26" ht="15">
      <c r="A56" s="7">
        <v>59</v>
      </c>
      <c r="B56" s="2" t="s">
        <v>125</v>
      </c>
      <c r="C56" s="2" t="s">
        <v>126</v>
      </c>
      <c r="D56" s="2" t="s">
        <v>6</v>
      </c>
      <c r="E56" s="12" t="s">
        <v>127</v>
      </c>
      <c r="F56" s="16"/>
      <c r="G56" s="16"/>
      <c r="H56" s="16">
        <f>4830/864000</f>
        <v>0.005590277777777777</v>
      </c>
      <c r="I56" s="16">
        <f>11542/864000</f>
        <v>0.013358796296296296</v>
      </c>
      <c r="J56" s="16">
        <f>6375/864000</f>
        <v>0.007378472222222222</v>
      </c>
      <c r="K56" s="16">
        <f>5121/864000</f>
        <v>0.005927083333333334</v>
      </c>
      <c r="L56" s="16">
        <f>6048/864000</f>
        <v>0.007</v>
      </c>
      <c r="M56" s="16">
        <f>11529/864000</f>
        <v>0.01334375</v>
      </c>
      <c r="N56" s="16"/>
      <c r="O56" s="16"/>
      <c r="P56" s="16"/>
      <c r="Q56" s="16">
        <f>1173/864000</f>
        <v>0.001357638888888889</v>
      </c>
      <c r="R56" s="16">
        <f>1146/864000</f>
        <v>0.0013263888888888889</v>
      </c>
      <c r="S56" s="16"/>
      <c r="T56" s="16"/>
      <c r="U56" s="16"/>
      <c r="V56" s="16"/>
      <c r="W56" s="16"/>
      <c r="X56" s="16"/>
      <c r="Y56" s="16"/>
      <c r="Z56" s="16"/>
    </row>
    <row r="57" spans="1:26" ht="15">
      <c r="A57" s="8">
        <v>60</v>
      </c>
      <c r="B57" s="3" t="s">
        <v>128</v>
      </c>
      <c r="C57" s="3" t="s">
        <v>129</v>
      </c>
      <c r="D57" s="3" t="s">
        <v>80</v>
      </c>
      <c r="E57" s="13">
        <v>1600</v>
      </c>
      <c r="F57" s="18"/>
      <c r="G57" s="18"/>
      <c r="H57" s="18">
        <f>4850/864000</f>
        <v>0.005613425925925926</v>
      </c>
      <c r="I57" s="18">
        <f>11745/864000</f>
        <v>0.01359375</v>
      </c>
      <c r="J57" s="18">
        <f>6289/864000</f>
        <v>0.007278935185185185</v>
      </c>
      <c r="K57" s="18">
        <f>4716/864000</f>
        <v>0.005458333333333333</v>
      </c>
      <c r="L57" s="18">
        <f>4799/864000</f>
        <v>0.005554398148148148</v>
      </c>
      <c r="M57" s="18">
        <f>12014/864000</f>
        <v>0.013905092592592592</v>
      </c>
      <c r="N57" s="18">
        <f>506/864000</f>
        <v>0.0005856481481481482</v>
      </c>
      <c r="O57" s="18">
        <f>484/864000</f>
        <v>0.0005601851851851852</v>
      </c>
      <c r="P57" s="18"/>
      <c r="Q57" s="18">
        <f>1130/864000</f>
        <v>0.0013078703703703703</v>
      </c>
      <c r="R57" s="18">
        <f>1210/864000</f>
        <v>0.001400462962962963</v>
      </c>
      <c r="S57" s="18"/>
      <c r="T57" s="18"/>
      <c r="U57" s="18"/>
      <c r="V57" s="18"/>
      <c r="W57" s="18"/>
      <c r="X57" s="18"/>
      <c r="Y57" s="18"/>
      <c r="Z57" s="18"/>
    </row>
    <row r="58" spans="1:26" ht="15">
      <c r="A58" s="7">
        <v>61</v>
      </c>
      <c r="B58" s="2" t="s">
        <v>130</v>
      </c>
      <c r="C58" s="2" t="s">
        <v>131</v>
      </c>
      <c r="D58" s="2" t="s">
        <v>80</v>
      </c>
      <c r="E58" s="12">
        <v>1600</v>
      </c>
      <c r="F58" s="16"/>
      <c r="G58" s="16"/>
      <c r="H58" s="16">
        <f>5922/864000</f>
        <v>0.006854166666666666</v>
      </c>
      <c r="I58" s="16">
        <f>28677/864000</f>
        <v>0.03319097222222222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>
      <c r="A59" s="8">
        <v>62</v>
      </c>
      <c r="B59" s="3" t="s">
        <v>132</v>
      </c>
      <c r="C59" s="3" t="s">
        <v>132</v>
      </c>
      <c r="D59" s="3" t="s">
        <v>103</v>
      </c>
      <c r="E59" s="13" t="s">
        <v>133</v>
      </c>
      <c r="F59" s="18"/>
      <c r="G59" s="18"/>
      <c r="H59" s="18">
        <f>5540/864000</f>
        <v>0.006412037037037037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">
      <c r="A60" s="7">
        <v>63</v>
      </c>
      <c r="B60" s="2" t="s">
        <v>23</v>
      </c>
      <c r="C60" s="2" t="s">
        <v>134</v>
      </c>
      <c r="D60" s="2" t="s">
        <v>6</v>
      </c>
      <c r="E60" s="12" t="s">
        <v>127</v>
      </c>
      <c r="F60" s="16"/>
      <c r="G60" s="16"/>
      <c r="H60" s="16">
        <f>5473/864000</f>
        <v>0.00633449074074074</v>
      </c>
      <c r="I60" s="16">
        <f>12713/864000</f>
        <v>0.01471412037037037</v>
      </c>
      <c r="J60" s="16">
        <f>7246/864000</f>
        <v>0.008386574074074074</v>
      </c>
      <c r="K60" s="16">
        <f>5020/864000</f>
        <v>0.005810185185185186</v>
      </c>
      <c r="L60" s="16">
        <f>5384/864000</f>
        <v>0.006231481481481481</v>
      </c>
      <c r="M60" s="16">
        <f>12737/864000</f>
        <v>0.014741898148148148</v>
      </c>
      <c r="N60" s="16">
        <f>528/864000</f>
        <v>0.0006111111111111111</v>
      </c>
      <c r="O60" s="16">
        <f>561/864000</f>
        <v>0.0006493055555555555</v>
      </c>
      <c r="P60" s="16"/>
      <c r="Q60" s="16">
        <f>1200/864000</f>
        <v>0.001388888888888889</v>
      </c>
      <c r="R60" s="16">
        <f>1218/864000</f>
        <v>0.0014097222222222221</v>
      </c>
      <c r="S60" s="16"/>
      <c r="T60" s="16"/>
      <c r="U60" s="16"/>
      <c r="V60" s="16"/>
      <c r="W60" s="16"/>
      <c r="X60" s="16"/>
      <c r="Y60" s="16"/>
      <c r="Z60" s="16"/>
    </row>
    <row r="61" spans="1:26" ht="15">
      <c r="A61" s="8">
        <v>81</v>
      </c>
      <c r="B61" s="3" t="s">
        <v>135</v>
      </c>
      <c r="C61" s="3" t="s">
        <v>136</v>
      </c>
      <c r="D61" s="3" t="s">
        <v>28</v>
      </c>
      <c r="E61" s="13" t="s">
        <v>87</v>
      </c>
      <c r="F61" s="18">
        <f>976/864000</f>
        <v>0.0011296296296296297</v>
      </c>
      <c r="G61" s="18">
        <f>986/864000</f>
        <v>0.0011412037037037037</v>
      </c>
      <c r="H61" s="18">
        <f>5080/864000</f>
        <v>0.00587962962962963</v>
      </c>
      <c r="I61" s="18">
        <f>11555/864000</f>
        <v>0.013373842592592593</v>
      </c>
      <c r="J61" s="18">
        <f>6180/864000</f>
        <v>0.007152777777777778</v>
      </c>
      <c r="K61" s="18">
        <f>4448/864000</f>
        <v>0.005148148148148148</v>
      </c>
      <c r="L61" s="18">
        <f>4647/864000</f>
        <v>0.005378472222222222</v>
      </c>
      <c r="M61" s="18">
        <f>11230/864000</f>
        <v>0.012997685185185185</v>
      </c>
      <c r="N61" s="18">
        <f>476/864000</f>
        <v>0.000550925925925926</v>
      </c>
      <c r="O61" s="18">
        <f>473/864000</f>
        <v>0.0005474537037037038</v>
      </c>
      <c r="P61" s="18"/>
      <c r="Q61" s="18">
        <f>996/864000</f>
        <v>0.0011527777777777777</v>
      </c>
      <c r="R61" s="18">
        <f>996/864000</f>
        <v>0.0011527777777777777</v>
      </c>
      <c r="S61" s="18">
        <f>7785/864000</f>
        <v>0.009010416666666667</v>
      </c>
      <c r="T61" s="18">
        <f>3733/864000</f>
        <v>0.0043206018518518515</v>
      </c>
      <c r="U61" s="18">
        <f>4165/864000</f>
        <v>0.004820601851851852</v>
      </c>
      <c r="V61" s="18">
        <f>5802/864000</f>
        <v>0.0067152777777777775</v>
      </c>
      <c r="W61" s="18">
        <f>7455/864000</f>
        <v>0.008628472222222221</v>
      </c>
      <c r="X61" s="18">
        <f>4060/864000</f>
        <v>0.004699074074074074</v>
      </c>
      <c r="Y61" s="18">
        <f>3590/864000</f>
        <v>0.004155092592592592</v>
      </c>
      <c r="Z61" s="18">
        <f>6124/864000</f>
        <v>0.007087962962962963</v>
      </c>
    </row>
    <row r="62" spans="1:26" ht="15">
      <c r="A62" s="7">
        <v>82</v>
      </c>
      <c r="B62" s="2" t="s">
        <v>137</v>
      </c>
      <c r="C62" s="2" t="s">
        <v>138</v>
      </c>
      <c r="D62" s="2" t="s">
        <v>24</v>
      </c>
      <c r="E62" s="12" t="s">
        <v>139</v>
      </c>
      <c r="F62" s="16">
        <f>1067/864000</f>
        <v>0.0012349537037037036</v>
      </c>
      <c r="G62" s="16">
        <f>1057/864000</f>
        <v>0.0012233796296296296</v>
      </c>
      <c r="H62" s="16">
        <f>5095/864000</f>
        <v>0.005896990740740741</v>
      </c>
      <c r="I62" s="16"/>
      <c r="J62" s="16"/>
      <c r="K62" s="16"/>
      <c r="L62" s="16"/>
      <c r="M62" s="16"/>
      <c r="N62" s="16"/>
      <c r="O62" s="16"/>
      <c r="P62" s="16"/>
      <c r="Q62" s="17">
        <f>1087/864000</f>
        <v>0.0012581018518518518</v>
      </c>
      <c r="R62" s="17">
        <f>1067/864000</f>
        <v>0.0012349537037037036</v>
      </c>
      <c r="S62" s="16">
        <f>8179/864000</f>
        <v>0.009466435185185185</v>
      </c>
      <c r="T62" s="16">
        <f>3807/864000</f>
        <v>0.00440625</v>
      </c>
      <c r="U62" s="16">
        <f>4238/864000</f>
        <v>0.004905092592592593</v>
      </c>
      <c r="V62" s="16">
        <f>5959/864000</f>
        <v>0.006896990740740741</v>
      </c>
      <c r="W62" s="16">
        <f>7700/864000</f>
        <v>0.008912037037037038</v>
      </c>
      <c r="X62" s="16">
        <f>4126/864000</f>
        <v>0.004775462962962963</v>
      </c>
      <c r="Y62" s="16">
        <f>3690/864000</f>
        <v>0.004270833333333333</v>
      </c>
      <c r="Z62" s="16">
        <f>6325/864000</f>
        <v>0.007320601851851852</v>
      </c>
    </row>
    <row r="63" spans="1:26" ht="15">
      <c r="A63" s="8">
        <v>83</v>
      </c>
      <c r="B63" s="3" t="s">
        <v>140</v>
      </c>
      <c r="C63" s="3" t="s">
        <v>141</v>
      </c>
      <c r="D63" s="3" t="s">
        <v>142</v>
      </c>
      <c r="E63" s="13" t="s">
        <v>143</v>
      </c>
      <c r="F63" s="18">
        <f>1000/864000</f>
        <v>0.0011574074074074073</v>
      </c>
      <c r="G63" s="18">
        <f>1048/864000</f>
        <v>0.001212962962962963</v>
      </c>
      <c r="H63" s="18">
        <f>5320/864000</f>
        <v>0.0061574074074074074</v>
      </c>
      <c r="I63" s="17">
        <f>11855/864000</f>
        <v>0.013721064814814814</v>
      </c>
      <c r="J63" s="17">
        <f>6480/864000</f>
        <v>0.0075</v>
      </c>
      <c r="K63" s="17">
        <f>4748/864000</f>
        <v>0.00549537037037037</v>
      </c>
      <c r="L63" s="17">
        <f>4947/864000</f>
        <v>0.005725694444444445</v>
      </c>
      <c r="M63" s="17">
        <f>11530/864000</f>
        <v>0.013344907407407408</v>
      </c>
      <c r="N63" s="18">
        <f>483/864000</f>
        <v>0.0005590277777777778</v>
      </c>
      <c r="O63" s="18">
        <f>485/864000</f>
        <v>0.0005613425925925926</v>
      </c>
      <c r="P63" s="18"/>
      <c r="Q63" s="18">
        <f>1062/864000</f>
        <v>0.0012291666666666666</v>
      </c>
      <c r="R63" s="18">
        <f>1038/864000</f>
        <v>0.001201388888888889</v>
      </c>
      <c r="S63" s="18">
        <f>8640/864000</f>
        <v>0.01</v>
      </c>
      <c r="T63" s="17">
        <f>4107/864000</f>
        <v>0.004753472222222222</v>
      </c>
      <c r="U63" s="18">
        <f>4567/864000</f>
        <v>0.00528587962962963</v>
      </c>
      <c r="V63" s="18">
        <f>6288/864000</f>
        <v>0.007277777777777778</v>
      </c>
      <c r="W63" s="18">
        <f>8327/864000</f>
        <v>0.009637731481481481</v>
      </c>
      <c r="X63" s="18">
        <f>6211/864000</f>
        <v>0.0071886574074074075</v>
      </c>
      <c r="Y63" s="18">
        <f>4069/864000</f>
        <v>0.004709490740740741</v>
      </c>
      <c r="Z63" s="18">
        <f>6899/864000</f>
        <v>0.007984953703703704</v>
      </c>
    </row>
    <row r="64" spans="1:26" ht="15">
      <c r="A64" s="7">
        <v>101</v>
      </c>
      <c r="B64" s="2" t="s">
        <v>144</v>
      </c>
      <c r="C64" s="2"/>
      <c r="D64" s="2" t="s">
        <v>145</v>
      </c>
      <c r="E64" s="12" t="s">
        <v>146</v>
      </c>
      <c r="F64" s="16"/>
      <c r="G64" s="16"/>
      <c r="H64" s="16">
        <f>4800/864000</f>
        <v>0.005555555555555556</v>
      </c>
      <c r="I64" s="16">
        <f>11412/864000</f>
        <v>0.013208333333333334</v>
      </c>
      <c r="J64" s="16">
        <f>6321/864000</f>
        <v>0.007315972222222222</v>
      </c>
      <c r="K64" s="16">
        <f>4619/864000</f>
        <v>0.005346064814814815</v>
      </c>
      <c r="L64" s="16">
        <f>4814/864000</f>
        <v>0.005571759259259259</v>
      </c>
      <c r="M64" s="16">
        <f>11551/864000</f>
        <v>0.013369212962962963</v>
      </c>
      <c r="N64" s="16">
        <f>497/864000</f>
        <v>0.0005752314814814815</v>
      </c>
      <c r="O64" s="16">
        <f>482/864000</f>
        <v>0.0005578703703703704</v>
      </c>
      <c r="P64" s="16"/>
      <c r="Q64" s="16"/>
      <c r="R64" s="16"/>
      <c r="S64" s="16">
        <f>8323/864000</f>
        <v>0.009633101851851851</v>
      </c>
      <c r="T64" s="16">
        <f>3903/864000</f>
        <v>0.004517361111111111</v>
      </c>
      <c r="U64" s="16"/>
      <c r="V64" s="16"/>
      <c r="W64" s="16"/>
      <c r="X64" s="16"/>
      <c r="Y64" s="16"/>
      <c r="Z64" s="16"/>
    </row>
    <row r="65" spans="1:26" ht="15">
      <c r="A65" s="8">
        <v>102</v>
      </c>
      <c r="B65" s="3" t="s">
        <v>147</v>
      </c>
      <c r="C65" s="3"/>
      <c r="D65" s="3" t="s">
        <v>148</v>
      </c>
      <c r="E65" s="13" t="s">
        <v>149</v>
      </c>
      <c r="F65" s="18"/>
      <c r="G65" s="18"/>
      <c r="H65" s="18">
        <f>4872/864000</f>
        <v>0.005638888888888889</v>
      </c>
      <c r="I65" s="18">
        <f>11291/864000</f>
        <v>0.013068287037037036</v>
      </c>
      <c r="J65" s="18">
        <f>5559/864000</f>
        <v>0.006434027777777778</v>
      </c>
      <c r="K65" s="18">
        <f>4493/864000</f>
        <v>0.005200231481481482</v>
      </c>
      <c r="L65" s="18">
        <f>4911/864000</f>
        <v>0.005684027777777777</v>
      </c>
      <c r="M65" s="18">
        <f>11111/864000</f>
        <v>0.012859953703703703</v>
      </c>
      <c r="N65" s="18">
        <f>496/864000</f>
        <v>0.0005740740740740741</v>
      </c>
      <c r="O65" s="18">
        <f>507/864000</f>
        <v>0.0005868055555555556</v>
      </c>
      <c r="P65" s="18"/>
      <c r="Q65" s="18"/>
      <c r="R65" s="18"/>
      <c r="S65" s="18">
        <f>8031/864000</f>
        <v>0.00929513888888889</v>
      </c>
      <c r="T65" s="18">
        <f>3743/864000</f>
        <v>0.004332175925925926</v>
      </c>
      <c r="U65" s="18">
        <f>4194/864000</f>
        <v>0.004854166666666666</v>
      </c>
      <c r="V65" s="18">
        <f>6158/864000</f>
        <v>0.007127314814814815</v>
      </c>
      <c r="W65" s="18">
        <f>6091/864000</f>
        <v>0.007049768518518519</v>
      </c>
      <c r="X65" s="18">
        <f>4287/864000</f>
        <v>0.004961805555555555</v>
      </c>
      <c r="Y65" s="18">
        <f>3864/864000</f>
        <v>0.004472222222222222</v>
      </c>
      <c r="Z65" s="18">
        <f>6554/864000</f>
        <v>0.007585648148148148</v>
      </c>
    </row>
    <row r="66" spans="1:26" ht="15">
      <c r="A66" s="7">
        <v>103</v>
      </c>
      <c r="B66" s="2" t="s">
        <v>150</v>
      </c>
      <c r="C66" s="2"/>
      <c r="D66" s="2" t="s">
        <v>148</v>
      </c>
      <c r="E66" s="12" t="s">
        <v>149</v>
      </c>
      <c r="F66" s="16"/>
      <c r="G66" s="16"/>
      <c r="H66" s="16">
        <f>4750/864000</f>
        <v>0.005497685185185185</v>
      </c>
      <c r="I66" s="16">
        <f>10979/864000</f>
        <v>0.012707175925925926</v>
      </c>
      <c r="J66" s="16">
        <f>5922/864000</f>
        <v>0.006854166666666666</v>
      </c>
      <c r="K66" s="16">
        <f>4436/864000</f>
        <v>0.005134259259259259</v>
      </c>
      <c r="L66" s="16">
        <f>4560/864000</f>
        <v>0.005277777777777778</v>
      </c>
      <c r="M66" s="16">
        <f>10874/864000</f>
        <v>0.012585648148148148</v>
      </c>
      <c r="N66" s="16">
        <f>492/864000</f>
        <v>0.0005694444444444445</v>
      </c>
      <c r="O66" s="16">
        <f>493/864000</f>
        <v>0.0005706018518518519</v>
      </c>
      <c r="P66" s="16"/>
      <c r="Q66" s="16"/>
      <c r="R66" s="16"/>
      <c r="S66" s="16">
        <f>7676/864000</f>
        <v>0.008884259259259258</v>
      </c>
      <c r="T66" s="16">
        <f>3634/864000</f>
        <v>0.004206018518518519</v>
      </c>
      <c r="U66" s="16">
        <f>4091/864000</f>
        <v>0.004734953703703704</v>
      </c>
      <c r="V66" s="16">
        <f>5900/864000</f>
        <v>0.006828703703703704</v>
      </c>
      <c r="W66" s="16">
        <f>5842/864000</f>
        <v>0.006761574074074074</v>
      </c>
      <c r="X66" s="16">
        <f>4024/864000</f>
        <v>0.004657407407407407</v>
      </c>
      <c r="Y66" s="16">
        <f>3649/864000</f>
        <v>0.00422337962962963</v>
      </c>
      <c r="Z66" s="16">
        <f>6290/864000</f>
        <v>0.007280092592592592</v>
      </c>
    </row>
    <row r="67" spans="1:26" ht="15">
      <c r="A67" s="8">
        <v>104</v>
      </c>
      <c r="B67" s="3" t="s">
        <v>151</v>
      </c>
      <c r="C67" s="3"/>
      <c r="D67" s="3" t="s">
        <v>152</v>
      </c>
      <c r="E67" s="13" t="s">
        <v>153</v>
      </c>
      <c r="F67" s="18"/>
      <c r="G67" s="18"/>
      <c r="H67" s="18">
        <f>5469/864000</f>
        <v>0.006329861111111111</v>
      </c>
      <c r="I67" s="18">
        <f>12249/864000</f>
        <v>0.014177083333333333</v>
      </c>
      <c r="J67" s="18">
        <f>6920/864000</f>
        <v>0.00800925925925926</v>
      </c>
      <c r="K67" s="18">
        <f>4839/864000</f>
        <v>0.005600694444444445</v>
      </c>
      <c r="L67" s="18">
        <f>4982/864000</f>
        <v>0.005766203703703704</v>
      </c>
      <c r="M67" s="18">
        <f>12398/864000</f>
        <v>0.014349537037037037</v>
      </c>
      <c r="N67" s="18">
        <f>516/864000</f>
        <v>0.0005972222222222222</v>
      </c>
      <c r="O67" s="18">
        <f>495/864000</f>
        <v>0.0005729166666666667</v>
      </c>
      <c r="P67" s="18"/>
      <c r="Q67" s="18"/>
      <c r="R67" s="18"/>
      <c r="S67" s="18">
        <f>8619/864000</f>
        <v>0.009975694444444445</v>
      </c>
      <c r="T67" s="18">
        <f>3970/864000</f>
        <v>0.004594907407407408</v>
      </c>
      <c r="U67" s="18">
        <f>4345/864000</f>
        <v>0.005028935185185185</v>
      </c>
      <c r="V67" s="18">
        <f>6422/864000</f>
        <v>0.00743287037037037</v>
      </c>
      <c r="W67" s="18">
        <f>6459/864000</f>
        <v>0.0074756944444444445</v>
      </c>
      <c r="X67" s="18">
        <f>4345/864000</f>
        <v>0.005028935185185185</v>
      </c>
      <c r="Y67" s="18">
        <f>3945/864000</f>
        <v>0.004565972222222222</v>
      </c>
      <c r="Z67" s="18">
        <f>6877/864000</f>
        <v>0.007959490740740741</v>
      </c>
    </row>
    <row r="68" spans="1:26" ht="15">
      <c r="A68" s="7">
        <v>105</v>
      </c>
      <c r="B68" s="2" t="s">
        <v>154</v>
      </c>
      <c r="C68" s="2"/>
      <c r="D68" s="2" t="s">
        <v>145</v>
      </c>
      <c r="E68" s="12" t="s">
        <v>155</v>
      </c>
      <c r="F68" s="16"/>
      <c r="G68" s="16"/>
      <c r="H68" s="16">
        <f>4954/864000</f>
        <v>0.005733796296296296</v>
      </c>
      <c r="I68" s="16">
        <f>11653/864000</f>
        <v>0.013487268518518518</v>
      </c>
      <c r="J68" s="16">
        <f>6637/864000</f>
        <v>0.007681712962962963</v>
      </c>
      <c r="K68" s="16">
        <f>5096/864000</f>
        <v>0.005898148148148148</v>
      </c>
      <c r="L68" s="16">
        <f>5107/864000</f>
        <v>0.00591087962962963</v>
      </c>
      <c r="M68" s="16">
        <f>12059/864000</f>
        <v>0.013957175925925927</v>
      </c>
      <c r="N68" s="16">
        <f>476/864000</f>
        <v>0.000550925925925926</v>
      </c>
      <c r="O68" s="16">
        <f>473/864000</f>
        <v>0.0005474537037037038</v>
      </c>
      <c r="P68" s="16"/>
      <c r="Q68" s="16"/>
      <c r="R68" s="16"/>
      <c r="S68" s="16">
        <f>8330/864000</f>
        <v>0.009641203703703704</v>
      </c>
      <c r="T68" s="16">
        <f>3895/864000</f>
        <v>0.004508101851851852</v>
      </c>
      <c r="U68" s="16">
        <f>4349/864000</f>
        <v>0.0050335648148148145</v>
      </c>
      <c r="V68" s="16">
        <f>6330/864000</f>
        <v>0.007326388888888889</v>
      </c>
      <c r="W68" s="16">
        <f>6235/864000</f>
        <v>0.007216435185185185</v>
      </c>
      <c r="X68" s="16">
        <f>4586/864000</f>
        <v>0.005307870370370371</v>
      </c>
      <c r="Y68" s="16">
        <f>4014/864000</f>
        <v>0.004645833333333333</v>
      </c>
      <c r="Z68" s="16">
        <f>6747/864000</f>
        <v>0.007809027777777778</v>
      </c>
    </row>
    <row r="69" spans="1:26" ht="15">
      <c r="A69" s="8">
        <v>106</v>
      </c>
      <c r="B69" s="3" t="s">
        <v>156</v>
      </c>
      <c r="C69" s="3"/>
      <c r="D69" s="3" t="s">
        <v>148</v>
      </c>
      <c r="E69" s="13" t="s">
        <v>149</v>
      </c>
      <c r="F69" s="18"/>
      <c r="G69" s="18"/>
      <c r="H69" s="18">
        <f>5269/864000</f>
        <v>0.00609837962962963</v>
      </c>
      <c r="I69" s="18">
        <f>12374/864000</f>
        <v>0.01432175925925926</v>
      </c>
      <c r="J69" s="18">
        <f>7086/864000</f>
        <v>0.008201388888888888</v>
      </c>
      <c r="K69" s="18">
        <f>5113/864000</f>
        <v>0.0059178240740740745</v>
      </c>
      <c r="L69" s="18">
        <f>5350/864000</f>
        <v>0.00619212962962963</v>
      </c>
      <c r="M69" s="18">
        <f>12412/864000</f>
        <v>0.014365740740740741</v>
      </c>
      <c r="N69" s="18">
        <f>575/864000</f>
        <v>0.0006655092592592592</v>
      </c>
      <c r="O69" s="18">
        <f>545/864000</f>
        <v>0.000630787037037037</v>
      </c>
      <c r="P69" s="18"/>
      <c r="Q69" s="18"/>
      <c r="R69" s="18"/>
      <c r="S69" s="18">
        <f>9107/864000</f>
        <v>0.01054050925925926</v>
      </c>
      <c r="T69" s="18">
        <f>4257/864000</f>
        <v>0.004927083333333334</v>
      </c>
      <c r="U69" s="18">
        <f>4736/864000</f>
        <v>0.005481481481481481</v>
      </c>
      <c r="V69" s="18">
        <f>6734/864000</f>
        <v>0.007793981481481482</v>
      </c>
      <c r="W69" s="18">
        <f>6561/864000</f>
        <v>0.00759375</v>
      </c>
      <c r="X69" s="18">
        <f>4581/864000</f>
        <v>0.005302083333333333</v>
      </c>
      <c r="Y69" s="18">
        <f>4092/864000</f>
        <v>0.004736111111111111</v>
      </c>
      <c r="Z69" s="18">
        <f>7064/864000</f>
        <v>0.008175925925925927</v>
      </c>
    </row>
    <row r="70" spans="1:26" ht="15">
      <c r="A70" s="7">
        <v>107</v>
      </c>
      <c r="B70" s="2" t="s">
        <v>157</v>
      </c>
      <c r="C70" s="2"/>
      <c r="D70" s="2" t="s">
        <v>145</v>
      </c>
      <c r="E70" s="12" t="s">
        <v>158</v>
      </c>
      <c r="F70" s="16"/>
      <c r="G70" s="16"/>
      <c r="H70" s="16">
        <f>5372/864000</f>
        <v>0.006217592592592592</v>
      </c>
      <c r="I70" s="16">
        <f>12308/864000</f>
        <v>0.01424537037037037</v>
      </c>
      <c r="J70" s="16">
        <f>6852/864000</f>
        <v>0.007930555555555555</v>
      </c>
      <c r="K70" s="16">
        <f>5000/864000</f>
        <v>0.005787037037037037</v>
      </c>
      <c r="L70" s="16">
        <f>5193/864000</f>
        <v>0.0060104166666666665</v>
      </c>
      <c r="M70" s="16">
        <f>11771/864000</f>
        <v>0.013623842592592592</v>
      </c>
      <c r="N70" s="16">
        <f>518/864000</f>
        <v>0.000599537037037037</v>
      </c>
      <c r="O70" s="16">
        <f>497/864000</f>
        <v>0.0005752314814814815</v>
      </c>
      <c r="P70" s="16"/>
      <c r="Q70" s="16"/>
      <c r="R70" s="16"/>
      <c r="S70" s="16">
        <f>8853/864000</f>
        <v>0.010246527777777778</v>
      </c>
      <c r="T70" s="16">
        <f>4018/864000</f>
        <v>0.004650462962962963</v>
      </c>
      <c r="U70" s="16">
        <f>4552/864000</f>
        <v>0.005268518518518519</v>
      </c>
      <c r="V70" s="16">
        <f>5957/864000</f>
        <v>0.006894675925925926</v>
      </c>
      <c r="W70" s="16">
        <f>6403/864000</f>
        <v>0.007410879629629629</v>
      </c>
      <c r="X70" s="16">
        <f>4514/864000</f>
        <v>0.005224537037037037</v>
      </c>
      <c r="Y70" s="16">
        <f>3997/864000</f>
        <v>0.004626157407407408</v>
      </c>
      <c r="Z70" s="16">
        <f>6876/864000</f>
        <v>0.007958333333333333</v>
      </c>
    </row>
    <row r="71" spans="1:26" ht="15">
      <c r="A71" s="8">
        <v>109</v>
      </c>
      <c r="B71" s="3" t="s">
        <v>159</v>
      </c>
      <c r="C71" s="3"/>
      <c r="D71" s="3" t="s">
        <v>152</v>
      </c>
      <c r="E71" s="13" t="s">
        <v>160</v>
      </c>
      <c r="F71" s="18"/>
      <c r="G71" s="18"/>
      <c r="H71" s="18">
        <f>5483/864000</f>
        <v>0.006346064814814815</v>
      </c>
      <c r="I71" s="18">
        <f>13215/864000</f>
        <v>0.01529513888888889</v>
      </c>
      <c r="J71" s="18">
        <f>6959/864000</f>
        <v>0.008054398148148147</v>
      </c>
      <c r="K71" s="18">
        <f>5118/864000</f>
        <v>0.005923611111111111</v>
      </c>
      <c r="L71" s="18">
        <f>5359/864000</f>
        <v>0.006202546296296296</v>
      </c>
      <c r="M71" s="18">
        <f>12035/864000</f>
        <v>0.013929398148148147</v>
      </c>
      <c r="N71" s="18">
        <f>529/864000</f>
        <v>0.0006122685185185185</v>
      </c>
      <c r="O71" s="18">
        <f>531/864000</f>
        <v>0.0006145833333333333</v>
      </c>
      <c r="P71" s="18"/>
      <c r="Q71" s="18"/>
      <c r="R71" s="18"/>
      <c r="S71" s="18">
        <f>9717/864000</f>
        <v>0.011246527777777777</v>
      </c>
      <c r="T71" s="18">
        <f>4334/864000</f>
        <v>0.005016203703703703</v>
      </c>
      <c r="U71" s="18">
        <f>5177/864000</f>
        <v>0.005991898148148148</v>
      </c>
      <c r="V71" s="18">
        <f>6988/864000</f>
        <v>0.008087962962962963</v>
      </c>
      <c r="W71" s="18">
        <f>6993/864000</f>
        <v>0.00809375</v>
      </c>
      <c r="X71" s="18">
        <f>4774/864000</f>
        <v>0.005525462962962963</v>
      </c>
      <c r="Y71" s="18">
        <f>4221/864000</f>
        <v>0.004885416666666666</v>
      </c>
      <c r="Z71" s="18">
        <f>7251/864000</f>
        <v>0.00839236111111111</v>
      </c>
    </row>
    <row r="72" spans="1:26" ht="15">
      <c r="A72" s="7">
        <v>110</v>
      </c>
      <c r="B72" s="2" t="s">
        <v>161</v>
      </c>
      <c r="C72" s="2"/>
      <c r="D72" s="2" t="s">
        <v>152</v>
      </c>
      <c r="E72" s="12" t="s">
        <v>162</v>
      </c>
      <c r="F72" s="16"/>
      <c r="G72" s="16"/>
      <c r="H72" s="16">
        <f>5957/864000</f>
        <v>0.006894675925925926</v>
      </c>
      <c r="I72" s="16">
        <f>13567/864000</f>
        <v>0.015702546296296298</v>
      </c>
      <c r="J72" s="16">
        <f>7599/864000</f>
        <v>0.008795138888888889</v>
      </c>
      <c r="K72" s="16">
        <f>5228/864000</f>
        <v>0.006050925925925926</v>
      </c>
      <c r="L72" s="16">
        <f>5745/864000</f>
        <v>0.006649305555555556</v>
      </c>
      <c r="M72" s="16">
        <f>13236/864000</f>
        <v>0.015319444444444445</v>
      </c>
      <c r="N72" s="16">
        <f>571/864000</f>
        <v>0.0006608796296296296</v>
      </c>
      <c r="O72" s="16">
        <f>537/864000</f>
        <v>0.0006215277777777778</v>
      </c>
      <c r="P72" s="16"/>
      <c r="Q72" s="16"/>
      <c r="R72" s="16"/>
      <c r="S72" s="16">
        <f>9293/864000</f>
        <v>0.010755787037037038</v>
      </c>
      <c r="T72" s="16">
        <f>4282/864000</f>
        <v>0.0049560185185185185</v>
      </c>
      <c r="U72" s="16">
        <f>4847/864000</f>
        <v>0.005609953703703704</v>
      </c>
      <c r="V72" s="16">
        <f>6980/864000</f>
        <v>0.008078703703703704</v>
      </c>
      <c r="W72" s="16">
        <f>6981/864000</f>
        <v>0.00807986111111111</v>
      </c>
      <c r="X72" s="16">
        <f>4821/864000</f>
        <v>0.005579861111111111</v>
      </c>
      <c r="Y72" s="16">
        <f>4327/864000</f>
        <v>0.005008101851851852</v>
      </c>
      <c r="Z72" s="16">
        <f>7470/864000</f>
        <v>0.008645833333333333</v>
      </c>
    </row>
    <row r="73" spans="1:26" ht="15">
      <c r="A73" s="8">
        <v>111</v>
      </c>
      <c r="B73" s="3" t="s">
        <v>163</v>
      </c>
      <c r="C73" s="3"/>
      <c r="D73" s="3" t="s">
        <v>152</v>
      </c>
      <c r="E73" s="13" t="s">
        <v>164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>
        <f>9564/864000</f>
        <v>0.011069444444444444</v>
      </c>
      <c r="T73" s="18"/>
      <c r="U73" s="18"/>
      <c r="V73" s="18"/>
      <c r="W73" s="18"/>
      <c r="X73" s="18"/>
      <c r="Y73" s="18"/>
      <c r="Z73" s="18"/>
    </row>
    <row r="74" spans="1:26" ht="15">
      <c r="A74" s="7">
        <v>112</v>
      </c>
      <c r="B74" s="2" t="s">
        <v>165</v>
      </c>
      <c r="C74" s="2"/>
      <c r="D74" s="2" t="s">
        <v>166</v>
      </c>
      <c r="E74" s="12" t="s">
        <v>167</v>
      </c>
      <c r="F74" s="16"/>
      <c r="G74" s="16"/>
      <c r="H74" s="16">
        <f>4890/864000</f>
        <v>0.005659722222222222</v>
      </c>
      <c r="I74" s="16">
        <f>11559/864000</f>
        <v>0.013378472222222222</v>
      </c>
      <c r="J74" s="16">
        <f>6386/864000</f>
        <v>0.007391203703703704</v>
      </c>
      <c r="K74" s="16">
        <f>4691/864000</f>
        <v>0.0054293981481481485</v>
      </c>
      <c r="L74" s="16">
        <f>4897/864000</f>
        <v>0.005667824074074074</v>
      </c>
      <c r="M74" s="16">
        <f>11397/864000</f>
        <v>0.013190972222222222</v>
      </c>
      <c r="N74" s="16">
        <f>483/864000</f>
        <v>0.0005590277777777778</v>
      </c>
      <c r="O74" s="16">
        <f>459/864000</f>
        <v>0.00053125</v>
      </c>
      <c r="P74" s="16"/>
      <c r="Q74" s="16"/>
      <c r="R74" s="16"/>
      <c r="S74" s="16">
        <f>8358/864000</f>
        <v>0.00967361111111111</v>
      </c>
      <c r="T74" s="16">
        <f>3900/864000</f>
        <v>0.0045138888888888885</v>
      </c>
      <c r="U74" s="16">
        <f>4489/864000</f>
        <v>0.005195601851851851</v>
      </c>
      <c r="V74" s="16">
        <f>6349/864000</f>
        <v>0.00734837962962963</v>
      </c>
      <c r="W74" s="16">
        <f>6342/864000</f>
        <v>0.007340277777777778</v>
      </c>
      <c r="X74" s="16">
        <f>4556/864000</f>
        <v>0.005273148148148148</v>
      </c>
      <c r="Y74" s="16">
        <f>3903/864000</f>
        <v>0.004517361111111111</v>
      </c>
      <c r="Z74" s="16">
        <f>6675/864000</f>
        <v>0.007725694444444445</v>
      </c>
    </row>
    <row r="75" spans="1:26" ht="15">
      <c r="A75" s="8">
        <v>113</v>
      </c>
      <c r="B75" s="3" t="s">
        <v>168</v>
      </c>
      <c r="C75" s="3"/>
      <c r="D75" s="3" t="s">
        <v>145</v>
      </c>
      <c r="E75" s="13" t="s">
        <v>169</v>
      </c>
      <c r="F75" s="18"/>
      <c r="G75" s="18"/>
      <c r="H75" s="18">
        <f>5434/864000</f>
        <v>0.0062893518518518515</v>
      </c>
      <c r="I75" s="18">
        <f>12128/864000</f>
        <v>0.014037037037037037</v>
      </c>
      <c r="J75" s="18">
        <f>6931/864000</f>
        <v>0.008021990740740741</v>
      </c>
      <c r="K75" s="18">
        <f>5075/864000</f>
        <v>0.005873842592592593</v>
      </c>
      <c r="L75" s="18">
        <f>5418/864000</f>
        <v>0.006270833333333333</v>
      </c>
      <c r="M75" s="18">
        <f>12352/864000</f>
        <v>0.014296296296296297</v>
      </c>
      <c r="N75" s="18">
        <f>514/864000</f>
        <v>0.0005949074074074074</v>
      </c>
      <c r="O75" s="18">
        <f>523/864000</f>
        <v>0.0006053240740740741</v>
      </c>
      <c r="P75" s="18"/>
      <c r="Q75" s="18"/>
      <c r="R75" s="18"/>
      <c r="S75" s="18">
        <f>8941/864000</f>
        <v>0.01034837962962963</v>
      </c>
      <c r="T75" s="18">
        <f>4051/864000</f>
        <v>0.004688657407407407</v>
      </c>
      <c r="U75" s="18">
        <f>4751/864000</f>
        <v>0.0054988425925925925</v>
      </c>
      <c r="V75" s="18">
        <f>6949/864000</f>
        <v>0.008042824074074074</v>
      </c>
      <c r="W75" s="18">
        <f>6774/864000</f>
        <v>0.007840277777777778</v>
      </c>
      <c r="X75" s="18">
        <f>4808/864000</f>
        <v>0.005564814814814815</v>
      </c>
      <c r="Y75" s="18">
        <f>4150/864000</f>
        <v>0.004803240740740741</v>
      </c>
      <c r="Z75" s="18">
        <f>7248/864000</f>
        <v>0.008388888888888888</v>
      </c>
    </row>
    <row r="76" spans="1:26" ht="15">
      <c r="A76" s="7">
        <v>114</v>
      </c>
      <c r="B76" s="2" t="s">
        <v>165</v>
      </c>
      <c r="C76" s="2"/>
      <c r="D76" s="2" t="s">
        <v>166</v>
      </c>
      <c r="E76" s="12" t="s">
        <v>167</v>
      </c>
      <c r="F76" s="16"/>
      <c r="G76" s="16"/>
      <c r="H76" s="16">
        <f>5015/864000</f>
        <v>0.005804398148148148</v>
      </c>
      <c r="I76" s="16">
        <f>11642/864000</f>
        <v>0.013474537037037037</v>
      </c>
      <c r="J76" s="16">
        <f>8851/864000</f>
        <v>0.010244212962962964</v>
      </c>
      <c r="K76" s="16">
        <f>4881/864000</f>
        <v>0.005649305555555556</v>
      </c>
      <c r="L76" s="16">
        <f>5398/864000</f>
        <v>0.006247685185185185</v>
      </c>
      <c r="M76" s="16">
        <f>12324/864000</f>
        <v>0.014263888888888888</v>
      </c>
      <c r="N76" s="16">
        <f>504/864000</f>
        <v>0.0005833333333333334</v>
      </c>
      <c r="O76" s="16">
        <f>529/864000</f>
        <v>0.0006122685185185185</v>
      </c>
      <c r="P76" s="16"/>
      <c r="Q76" s="16"/>
      <c r="R76" s="16"/>
      <c r="S76" s="16">
        <f>9033/864000</f>
        <v>0.010454861111111111</v>
      </c>
      <c r="T76" s="16">
        <f>4152/864000</f>
        <v>0.004805555555555556</v>
      </c>
      <c r="U76" s="16">
        <f>4730/864000</f>
        <v>0.005474537037037037</v>
      </c>
      <c r="V76" s="16">
        <f>6843/864000</f>
        <v>0.00792013888888889</v>
      </c>
      <c r="W76" s="16">
        <f>6646/864000</f>
        <v>0.0076921296296296295</v>
      </c>
      <c r="X76" s="16">
        <f>4668/864000</f>
        <v>0.005402777777777778</v>
      </c>
      <c r="Y76" s="16">
        <f>4067/864000</f>
        <v>0.004707175925925926</v>
      </c>
      <c r="Z76" s="16">
        <f>7139/864000</f>
        <v>0.008262731481481482</v>
      </c>
    </row>
    <row r="77" spans="1:26" ht="15">
      <c r="A77" s="8">
        <v>115</v>
      </c>
      <c r="B77" s="3" t="s">
        <v>170</v>
      </c>
      <c r="C77" s="3"/>
      <c r="D77" s="3" t="s">
        <v>171</v>
      </c>
      <c r="E77" s="13" t="s">
        <v>172</v>
      </c>
      <c r="F77" s="18"/>
      <c r="G77" s="18"/>
      <c r="H77" s="18">
        <f>5123/864000</f>
        <v>0.005929398148148148</v>
      </c>
      <c r="I77" s="18">
        <f>11420/864000</f>
        <v>0.013217592592592593</v>
      </c>
      <c r="J77" s="18">
        <f>6394/864000</f>
        <v>0.007400462962962963</v>
      </c>
      <c r="K77" s="18">
        <f>5255/864000</f>
        <v>0.006082175925925926</v>
      </c>
      <c r="L77" s="18">
        <f>4848/864000</f>
        <v>0.005611111111111111</v>
      </c>
      <c r="M77" s="18">
        <f>11129/864000</f>
        <v>0.012880787037037038</v>
      </c>
      <c r="N77" s="18">
        <f>499/864000</f>
        <v>0.0005775462962962963</v>
      </c>
      <c r="O77" s="18">
        <f>464/864000</f>
        <v>0.000537037037037037</v>
      </c>
      <c r="P77" s="18"/>
      <c r="Q77" s="18"/>
      <c r="R77" s="18"/>
      <c r="S77" s="18">
        <f>8220/864000</f>
        <v>0.00951388888888889</v>
      </c>
      <c r="T77" s="18">
        <f>3765/864000</f>
        <v>0.004357638888888889</v>
      </c>
      <c r="U77" s="18">
        <f>5222/864000</f>
        <v>0.006043981481481482</v>
      </c>
      <c r="V77" s="18">
        <f>6258/864000</f>
        <v>0.0072430555555555555</v>
      </c>
      <c r="W77" s="18">
        <f>6226/864000</f>
        <v>0.007206018518518519</v>
      </c>
      <c r="X77" s="18">
        <f>4437/864000</f>
        <v>0.005135416666666667</v>
      </c>
      <c r="Y77" s="18">
        <f>3788/864000</f>
        <v>0.00438425925925926</v>
      </c>
      <c r="Z77" s="18">
        <f>6918/864000</f>
        <v>0.008006944444444445</v>
      </c>
    </row>
    <row r="78" spans="1:26" ht="15">
      <c r="A78" s="7">
        <v>116</v>
      </c>
      <c r="B78" s="2" t="s">
        <v>173</v>
      </c>
      <c r="C78" s="2"/>
      <c r="D78" s="2" t="s">
        <v>174</v>
      </c>
      <c r="E78" s="12" t="s">
        <v>175</v>
      </c>
      <c r="F78" s="16"/>
      <c r="G78" s="16"/>
      <c r="H78" s="16">
        <f>6233/864000</f>
        <v>0.007214120370370371</v>
      </c>
      <c r="I78" s="16">
        <f>13606/864000</f>
        <v>0.015747685185185184</v>
      </c>
      <c r="J78" s="16">
        <f>7755/864000</f>
        <v>0.008975694444444444</v>
      </c>
      <c r="K78" s="16">
        <f>5738/864000</f>
        <v>0.006641203703703704</v>
      </c>
      <c r="L78" s="16">
        <f>5877/864000</f>
        <v>0.006802083333333334</v>
      </c>
      <c r="M78" s="16"/>
      <c r="N78" s="16"/>
      <c r="O78" s="16"/>
      <c r="P78" s="16"/>
      <c r="Q78" s="16"/>
      <c r="R78" s="16"/>
      <c r="S78" s="16">
        <f>10201/864000</f>
        <v>0.011806712962962963</v>
      </c>
      <c r="T78" s="16">
        <f>4764/864000</f>
        <v>0.0055138888888888885</v>
      </c>
      <c r="U78" s="16">
        <f>5420/864000</f>
        <v>0.006273148148148148</v>
      </c>
      <c r="V78" s="16">
        <f>7677/864000</f>
        <v>0.008885416666666666</v>
      </c>
      <c r="W78" s="16">
        <f>7514/864000</f>
        <v>0.00869675925925926</v>
      </c>
      <c r="X78" s="16">
        <f>5475/864000</f>
        <v>0.006336805555555556</v>
      </c>
      <c r="Y78" s="16">
        <f>4785/864000</f>
        <v>0.0055381944444444445</v>
      </c>
      <c r="Z78" s="16">
        <f>8595/864000</f>
        <v>0.009947916666666667</v>
      </c>
    </row>
    <row r="79" spans="1:26" ht="15">
      <c r="A79" s="9">
        <v>117</v>
      </c>
      <c r="B79" s="4" t="s">
        <v>176</v>
      </c>
      <c r="C79" s="4"/>
      <c r="D79" s="4" t="s">
        <v>177</v>
      </c>
      <c r="E79" s="14" t="s">
        <v>178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dcterms:created xsi:type="dcterms:W3CDTF">2011-04-17T13:31:26Z</dcterms:created>
  <dcterms:modified xsi:type="dcterms:W3CDTF">2011-04-17T13:57:04Z</dcterms:modified>
  <cp:category/>
  <cp:version/>
  <cp:contentType/>
  <cp:contentStatus/>
</cp:coreProperties>
</file>