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StageTimes_N" sheetId="1" r:id="rId1"/>
  </sheets>
  <definedNames/>
  <calcPr fullCalcOnLoad="1"/>
</workbook>
</file>

<file path=xl/sharedStrings.xml><?xml version="1.0" encoding="utf-8"?>
<sst xmlns="http://schemas.openxmlformats.org/spreadsheetml/2006/main" count="266" uniqueCount="184">
  <si>
    <t>Driver</t>
  </si>
  <si>
    <t>CoDriver</t>
  </si>
  <si>
    <t>Make</t>
  </si>
  <si>
    <t>Model</t>
  </si>
  <si>
    <t>EVANS</t>
  </si>
  <si>
    <t>Subaru</t>
  </si>
  <si>
    <t>Impreza WRX</t>
  </si>
  <si>
    <t>RAYMOND</t>
  </si>
  <si>
    <t>Mitsubishi</t>
  </si>
  <si>
    <t>Lancer Evo X</t>
  </si>
  <si>
    <t>WESTON</t>
  </si>
  <si>
    <t>Honda</t>
  </si>
  <si>
    <t>Civic Type R</t>
  </si>
  <si>
    <t>DOWEL</t>
  </si>
  <si>
    <t>LEE</t>
  </si>
  <si>
    <t>Lancer Evo IX</t>
  </si>
  <si>
    <t>SHEPHEARD</t>
  </si>
  <si>
    <t>MCCARTHY</t>
  </si>
  <si>
    <t>Evolution X</t>
  </si>
  <si>
    <t>SMART</t>
  </si>
  <si>
    <t>Toyota</t>
  </si>
  <si>
    <t>Corolla Sportivo</t>
  </si>
  <si>
    <t>PEDDER</t>
  </si>
  <si>
    <t>MORTIMER</t>
  </si>
  <si>
    <t>SMALLBONE</t>
  </si>
  <si>
    <t>BOADEN</t>
  </si>
  <si>
    <t>CHEERS</t>
  </si>
  <si>
    <t>KNOWLES</t>
  </si>
  <si>
    <t>QUINN</t>
  </si>
  <si>
    <t>GREEN</t>
  </si>
  <si>
    <t>KIRK</t>
  </si>
  <si>
    <t>WILLSON</t>
  </si>
  <si>
    <t>Mirage RS</t>
  </si>
  <si>
    <t>WINDUS</t>
  </si>
  <si>
    <t>ALLEN</t>
  </si>
  <si>
    <t>Corolla S2000</t>
  </si>
  <si>
    <t>WATKINS</t>
  </si>
  <si>
    <t>FEAVER</t>
  </si>
  <si>
    <t>Impreza WRX Spec C</t>
  </si>
  <si>
    <t>HYNES</t>
  </si>
  <si>
    <t>PERCIVAL</t>
  </si>
  <si>
    <t>MACARA</t>
  </si>
  <si>
    <t>MADLENER</t>
  </si>
  <si>
    <t>Lance Evo IX</t>
  </si>
  <si>
    <t>ANDERSON</t>
  </si>
  <si>
    <t>SEARCY</t>
  </si>
  <si>
    <t>WILDE</t>
  </si>
  <si>
    <t>Impreza WRX sti</t>
  </si>
  <si>
    <t>ROBINSON</t>
  </si>
  <si>
    <t>CHUDLEIGH</t>
  </si>
  <si>
    <t>Lancer Evo VII</t>
  </si>
  <si>
    <t>MCILROY</t>
  </si>
  <si>
    <t>TIERNEY</t>
  </si>
  <si>
    <t>Impreza WRX Sti</t>
  </si>
  <si>
    <t>TOSTEVIN</t>
  </si>
  <si>
    <t>SMITH</t>
  </si>
  <si>
    <t>FLOOD</t>
  </si>
  <si>
    <t>CROCKENBERG</t>
  </si>
  <si>
    <t>PUGH</t>
  </si>
  <si>
    <t>HELM</t>
  </si>
  <si>
    <t>Ford</t>
  </si>
  <si>
    <t>Escort</t>
  </si>
  <si>
    <t>LEATT-HAYTER</t>
  </si>
  <si>
    <t>ADAMS</t>
  </si>
  <si>
    <t>BROOM</t>
  </si>
  <si>
    <t>CARR</t>
  </si>
  <si>
    <t>RS Impreza</t>
  </si>
  <si>
    <t>WRIGHT</t>
  </si>
  <si>
    <t>HUGGINS</t>
  </si>
  <si>
    <t>Datsun</t>
  </si>
  <si>
    <t>1200 Coupe</t>
  </si>
  <si>
    <t>MILES</t>
  </si>
  <si>
    <t>GOODMAN</t>
  </si>
  <si>
    <t>WHITTLE</t>
  </si>
  <si>
    <t>DOE</t>
  </si>
  <si>
    <t>CIVIL</t>
  </si>
  <si>
    <t>ZANOTTI</t>
  </si>
  <si>
    <t>Lancer Evo VI</t>
  </si>
  <si>
    <t>O'DOWD</t>
  </si>
  <si>
    <t>CARY</t>
  </si>
  <si>
    <t>Impreza WRX STI</t>
  </si>
  <si>
    <t>DOUGLAS</t>
  </si>
  <si>
    <t>PAYNTER</t>
  </si>
  <si>
    <t>Holden</t>
  </si>
  <si>
    <t>Commodore</t>
  </si>
  <si>
    <t>MACDONALD</t>
  </si>
  <si>
    <t>HAHN</t>
  </si>
  <si>
    <t>Sprinter</t>
  </si>
  <si>
    <t>WHITE</t>
  </si>
  <si>
    <t>Daihatsu</t>
  </si>
  <si>
    <t>Charade Detomaso</t>
  </si>
  <si>
    <t>GOULD</t>
  </si>
  <si>
    <t>VLAD</t>
  </si>
  <si>
    <t>NICOLI</t>
  </si>
  <si>
    <t>Charade GTti</t>
  </si>
  <si>
    <t>MARSHALL</t>
  </si>
  <si>
    <t>BLACK</t>
  </si>
  <si>
    <t>IRIKS</t>
  </si>
  <si>
    <t>D'ARCY</t>
  </si>
  <si>
    <t>Escort MK 2</t>
  </si>
  <si>
    <t>PUZEY</t>
  </si>
  <si>
    <t>Mirage</t>
  </si>
  <si>
    <t>SPIGHT</t>
  </si>
  <si>
    <t>Impreza WRX Wagon</t>
  </si>
  <si>
    <t>LOWTHER</t>
  </si>
  <si>
    <t>BURTON</t>
  </si>
  <si>
    <t>Corolla</t>
  </si>
  <si>
    <t>SNADDON</t>
  </si>
  <si>
    <t>DRUMMOND</t>
  </si>
  <si>
    <t>Corolla FX-GT</t>
  </si>
  <si>
    <t>RALLI</t>
  </si>
  <si>
    <t>RUSSELL</t>
  </si>
  <si>
    <t>Hyundai</t>
  </si>
  <si>
    <t>Lantra</t>
  </si>
  <si>
    <t>KIRKHOUSE</t>
  </si>
  <si>
    <t>Nissan</t>
  </si>
  <si>
    <t>Pulsar</t>
  </si>
  <si>
    <t>RIDDEN</t>
  </si>
  <si>
    <t>HEALEY</t>
  </si>
  <si>
    <t>BERTRAND</t>
  </si>
  <si>
    <t>CAMPBELL</t>
  </si>
  <si>
    <t>VANDERVELDE</t>
  </si>
  <si>
    <t>HARPER</t>
  </si>
  <si>
    <t>MEZ</t>
  </si>
  <si>
    <t>Diahatsu</t>
  </si>
  <si>
    <t>GARDINER</t>
  </si>
  <si>
    <t>WILLIAMS</t>
  </si>
  <si>
    <t>BRUINSMA</t>
  </si>
  <si>
    <t>Holden SS</t>
  </si>
  <si>
    <t>SS VE</t>
  </si>
  <si>
    <t>LUDLAM</t>
  </si>
  <si>
    <t>WOOD</t>
  </si>
  <si>
    <t>DAVIES</t>
  </si>
  <si>
    <t>EDWARDS</t>
  </si>
  <si>
    <t>Mazda</t>
  </si>
  <si>
    <t>VASS</t>
  </si>
  <si>
    <t>MEREDITH</t>
  </si>
  <si>
    <t>OWEN</t>
  </si>
  <si>
    <t>Suzuki</t>
  </si>
  <si>
    <t>Swift</t>
  </si>
  <si>
    <t>VAN KANN</t>
  </si>
  <si>
    <t>MARQUET</t>
  </si>
  <si>
    <t>Levin TE27</t>
  </si>
  <si>
    <t>HORTON</t>
  </si>
  <si>
    <t>Yamaha</t>
  </si>
  <si>
    <t>COONEY</t>
  </si>
  <si>
    <t>KTM</t>
  </si>
  <si>
    <t>LAWN</t>
  </si>
  <si>
    <t>MAKIN</t>
  </si>
  <si>
    <t>CHITTICK</t>
  </si>
  <si>
    <t>PRATLEY</t>
  </si>
  <si>
    <t>WILLIAMSON</t>
  </si>
  <si>
    <t>COAKER</t>
  </si>
  <si>
    <t>Husaburg</t>
  </si>
  <si>
    <t>DA SILVA</t>
  </si>
  <si>
    <t>HEUCHAN</t>
  </si>
  <si>
    <t>LIGHTFOOT</t>
  </si>
  <si>
    <t>Hand TRX450ER Quad</t>
  </si>
  <si>
    <t>YOUNG</t>
  </si>
  <si>
    <t>TRIBBICK</t>
  </si>
  <si>
    <t>Honda TRX 450R</t>
  </si>
  <si>
    <t>= Missed Stage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</si>
  <si>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</si>
  <si>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</si>
  <si>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</si>
  <si>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</si>
  <si>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</si>
  <si>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</si>
  <si>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</si>
  <si>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</si>
  <si>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</si>
  <si>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</si>
  <si>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</si>
  <si>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</si>
  <si>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</si>
  <si>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</si>
  <si>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</si>
  <si>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</si>
  <si>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</si>
  <si>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</si>
  <si>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</si>
  <si>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SS20</t>
  </si>
  <si>
    <t>= Allocated times</t>
  </si>
  <si>
    <t>Car 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</si>
</sst>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left"/>
    </xf>
    <xf numFmtId="0" fontId="33" fillId="33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/>
    </xf>
    <xf numFmtId="47" fontId="0" fillId="35" borderId="10" xfId="0" applyNumberFormat="1" applyFill="1" applyBorder="1" applyAlignment="1">
      <alignment/>
    </xf>
    <xf numFmtId="47" fontId="0" fillId="34" borderId="10" xfId="0" applyNumberFormat="1" applyFill="1" applyBorder="1" applyAlignment="1">
      <alignment/>
    </xf>
    <xf numFmtId="47" fontId="0" fillId="0" borderId="10" xfId="0" applyNumberForma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95250</xdr:rowOff>
    </xdr:from>
    <xdr:to>
      <xdr:col>5</xdr:col>
      <xdr:colOff>552450</xdr:colOff>
      <xdr:row>3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33725" y="95250"/>
          <a:ext cx="32004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 QUIT Forest Rally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Stage Times</a:t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3</xdr:col>
      <xdr:colOff>304800</xdr:colOff>
      <xdr:row>3</xdr:row>
      <xdr:rowOff>333375</xdr:rowOff>
    </xdr:to>
    <xdr:grpSp>
      <xdr:nvGrpSpPr>
        <xdr:cNvPr id="2" name="Group 4"/>
        <xdr:cNvGrpSpPr>
          <a:grpSpLocks/>
        </xdr:cNvGrpSpPr>
      </xdr:nvGrpSpPr>
      <xdr:grpSpPr>
        <a:xfrm>
          <a:off x="542925" y="38100"/>
          <a:ext cx="2571750" cy="866775"/>
          <a:chOff x="653607" y="59559"/>
          <a:chExt cx="2569404" cy="876302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7492" y="59559"/>
            <a:ext cx="1245519" cy="8688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" descr="ARC 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53607" y="90230"/>
            <a:ext cx="1354076" cy="8456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2"/>
  <sheetViews>
    <sheetView tabSelected="1" zoomScale="79" zoomScaleNormal="79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4" sqref="K4"/>
    </sheetView>
  </sheetViews>
  <sheetFormatPr defaultColWidth="9.140625" defaultRowHeight="15"/>
  <cols>
    <col min="1" max="1" width="7.8515625" style="7" customWidth="1"/>
    <col min="2" max="2" width="18.140625" style="0" customWidth="1"/>
    <col min="3" max="3" width="16.140625" style="0" customWidth="1"/>
    <col min="4" max="4" width="22.28125" style="0" customWidth="1"/>
    <col min="5" max="5" width="22.28125" style="8" customWidth="1"/>
  </cols>
  <sheetData>
    <row r="1" ht="15"/>
    <row r="2" spans="7:8" ht="15">
      <c r="G2" s="5"/>
      <c r="H2" s="6" t="s">
        <v>182</v>
      </c>
    </row>
    <row r="3" spans="7:8" ht="15">
      <c r="G3" s="16"/>
      <c r="H3" s="6" t="s">
        <v>161</v>
      </c>
    </row>
    <row r="4" ht="34.5" customHeight="1"/>
    <row r="5" spans="1:25" ht="15">
      <c r="A5" s="1" t="s">
        <v>183</v>
      </c>
      <c r="B5" s="2" t="s">
        <v>0</v>
      </c>
      <c r="C5" s="2" t="s">
        <v>1</v>
      </c>
      <c r="D5" s="2" t="s">
        <v>2</v>
      </c>
      <c r="E5" s="3" t="s">
        <v>3</v>
      </c>
      <c r="F5" s="4" t="s">
        <v>162</v>
      </c>
      <c r="G5" s="4" t="s">
        <v>163</v>
      </c>
      <c r="H5" s="4" t="s">
        <v>164</v>
      </c>
      <c r="I5" s="4" t="s">
        <v>165</v>
      </c>
      <c r="J5" s="4" t="s">
        <v>166</v>
      </c>
      <c r="K5" s="4" t="s">
        <v>167</v>
      </c>
      <c r="L5" s="4" t="s">
        <v>168</v>
      </c>
      <c r="M5" s="4" t="s">
        <v>169</v>
      </c>
      <c r="N5" s="4" t="s">
        <v>170</v>
      </c>
      <c r="O5" s="4" t="s">
        <v>171</v>
      </c>
      <c r="P5" s="4" t="s">
        <v>172</v>
      </c>
      <c r="Q5" s="4" t="s">
        <v>173</v>
      </c>
      <c r="R5" s="4" t="s">
        <v>174</v>
      </c>
      <c r="S5" s="4" t="s">
        <v>175</v>
      </c>
      <c r="T5" s="4" t="s">
        <v>176</v>
      </c>
      <c r="U5" s="4" t="s">
        <v>177</v>
      </c>
      <c r="V5" s="4" t="s">
        <v>178</v>
      </c>
      <c r="W5" s="4" t="s">
        <v>179</v>
      </c>
      <c r="X5" s="4" t="s">
        <v>180</v>
      </c>
      <c r="Y5" s="4" t="s">
        <v>181</v>
      </c>
    </row>
    <row r="6" spans="1:25" ht="15">
      <c r="A6" s="10">
        <v>1</v>
      </c>
      <c r="B6" s="9" t="s">
        <v>4</v>
      </c>
      <c r="C6" s="9" t="s">
        <v>4</v>
      </c>
      <c r="D6" s="9" t="s">
        <v>5</v>
      </c>
      <c r="E6" s="11" t="s">
        <v>6</v>
      </c>
      <c r="F6" s="12">
        <f>939/864000</f>
        <v>0.0010868055555555555</v>
      </c>
      <c r="G6" s="12">
        <f>946/864000</f>
        <v>0.0010949074074074075</v>
      </c>
      <c r="H6" s="12">
        <f>4001/864000</f>
        <v>0.004630787037037037</v>
      </c>
      <c r="I6" s="12">
        <f>9488/864000</f>
        <v>0.010981481481481481</v>
      </c>
      <c r="J6" s="12">
        <f>5120/864000</f>
        <v>0.005925925925925926</v>
      </c>
      <c r="K6" s="12">
        <f>3682/864000</f>
        <v>0.004261574074074074</v>
      </c>
      <c r="L6" s="12">
        <f>3900/864000</f>
        <v>0.0045138888888888885</v>
      </c>
      <c r="M6" s="12">
        <f>9328/864000</f>
        <v>0.010796296296296297</v>
      </c>
      <c r="N6" s="12">
        <f>431/864000</f>
        <v>0.0004988425925925926</v>
      </c>
      <c r="O6" s="12">
        <f>417/864000</f>
        <v>0.0004826388888888889</v>
      </c>
      <c r="P6" s="12">
        <f>938/864000</f>
        <v>0.001085648148148148</v>
      </c>
      <c r="Q6" s="12">
        <f>937/864000</f>
        <v>0.0010844907407407407</v>
      </c>
      <c r="R6" s="12">
        <f>6500/864000</f>
        <v>0.007523148148148148</v>
      </c>
      <c r="S6" s="12">
        <f>3090/864000</f>
        <v>0.003576388888888889</v>
      </c>
      <c r="T6" s="12">
        <f>3563/864000</f>
        <v>0.004123842592592593</v>
      </c>
      <c r="U6" s="12">
        <f>5006/864000</f>
        <v>0.0057939814814814816</v>
      </c>
      <c r="V6" s="12">
        <f>6568/864000</f>
        <v>0.007601851851851852</v>
      </c>
      <c r="W6" s="12">
        <f>3593/864000</f>
        <v>0.004158564814814815</v>
      </c>
      <c r="X6" s="12">
        <f>3142/864000</f>
        <v>0.003636574074074074</v>
      </c>
      <c r="Y6" s="12">
        <f>5173/864000</f>
        <v>0.0059872685185185185</v>
      </c>
    </row>
    <row r="7" spans="1:25" ht="15">
      <c r="A7" s="10">
        <v>2</v>
      </c>
      <c r="B7" s="9" t="s">
        <v>7</v>
      </c>
      <c r="C7" s="9" t="s">
        <v>7</v>
      </c>
      <c r="D7" s="9" t="s">
        <v>8</v>
      </c>
      <c r="E7" s="11" t="s">
        <v>9</v>
      </c>
      <c r="F7" s="12">
        <f>958/864000</f>
        <v>0.0011087962962962963</v>
      </c>
      <c r="G7" s="12">
        <f>972/864000</f>
        <v>0.001125</v>
      </c>
      <c r="H7" s="12">
        <f>4014/864000</f>
        <v>0.004645833333333333</v>
      </c>
      <c r="I7" s="12">
        <f>9827/864000</f>
        <v>0.011373842592592593</v>
      </c>
      <c r="J7" s="12">
        <f>5193/864000</f>
        <v>0.0060104166666666665</v>
      </c>
      <c r="K7" s="12">
        <f>3799/864000</f>
        <v>0.00439699074074074</v>
      </c>
      <c r="L7" s="12">
        <f>3923/864000</f>
        <v>0.004540509259259259</v>
      </c>
      <c r="M7" s="12">
        <f>12628/864000</f>
        <v>0.01461574074074074</v>
      </c>
      <c r="N7" s="12">
        <f>439/864000</f>
        <v>0.0005081018518518518</v>
      </c>
      <c r="O7" s="12">
        <f>424/864000</f>
        <v>0.0004907407407407407</v>
      </c>
      <c r="P7" s="12">
        <f>972/864000</f>
        <v>0.001125</v>
      </c>
      <c r="Q7" s="12">
        <f>965/864000</f>
        <v>0.0011168981481481481</v>
      </c>
      <c r="R7" s="12">
        <f>6686/864000</f>
        <v>0.0077384259259259255</v>
      </c>
      <c r="S7" s="12">
        <f>3229/864000</f>
        <v>0.0037372685185185187</v>
      </c>
      <c r="T7" s="12">
        <f>3659/864000</f>
        <v>0.0042349537037037034</v>
      </c>
      <c r="U7" s="12">
        <f>5049/864000</f>
        <v>0.00584375</v>
      </c>
      <c r="V7" s="12">
        <f>6763/864000</f>
        <v>0.007827546296296296</v>
      </c>
      <c r="W7" s="12">
        <f>3746/864000</f>
        <v>0.004335648148148148</v>
      </c>
      <c r="X7" s="12">
        <f>3228/864000</f>
        <v>0.003736111111111111</v>
      </c>
      <c r="Y7" s="12">
        <f>5618/864000</f>
        <v>0.006502314814814815</v>
      </c>
    </row>
    <row r="8" spans="1:25" ht="15">
      <c r="A8" s="10">
        <v>3</v>
      </c>
      <c r="B8" s="9" t="s">
        <v>4</v>
      </c>
      <c r="C8" s="9" t="s">
        <v>10</v>
      </c>
      <c r="D8" s="9" t="s">
        <v>11</v>
      </c>
      <c r="E8" s="11" t="s">
        <v>12</v>
      </c>
      <c r="F8" s="12">
        <f>957/864000</f>
        <v>0.001107638888888889</v>
      </c>
      <c r="G8" s="12">
        <f>963/864000</f>
        <v>0.0011145833333333333</v>
      </c>
      <c r="H8" s="12">
        <f>4208/864000</f>
        <v>0.00487037037037037</v>
      </c>
      <c r="I8" s="12">
        <f>10133/864000</f>
        <v>0.01172800925925926</v>
      </c>
      <c r="J8" s="12">
        <f>5345/864000</f>
        <v>0.006186342592592592</v>
      </c>
      <c r="K8" s="12">
        <f>3921/864000</f>
        <v>0.0045381944444444445</v>
      </c>
      <c r="L8" s="13">
        <f>5794/864000</f>
        <v>0.006706018518518518</v>
      </c>
      <c r="M8" s="13">
        <f>12928/864000</f>
        <v>0.014962962962962963</v>
      </c>
      <c r="N8" s="13">
        <f>828/864000</f>
        <v>0.0009583333333333333</v>
      </c>
      <c r="O8" s="13">
        <f>808/864000</f>
        <v>0.0009351851851851852</v>
      </c>
      <c r="P8" s="12">
        <f>962/864000</f>
        <v>0.001113425925925926</v>
      </c>
      <c r="Q8" s="12">
        <f>962/864000</f>
        <v>0.001113425925925926</v>
      </c>
      <c r="R8" s="12">
        <f>6830/864000</f>
        <v>0.007905092592592592</v>
      </c>
      <c r="S8" s="12">
        <f>3282/864000</f>
        <v>0.003798611111111111</v>
      </c>
      <c r="T8" s="12">
        <f>3766/864000</f>
        <v>0.004358796296296296</v>
      </c>
      <c r="U8" s="12">
        <f>5360/864000</f>
        <v>0.0062037037037037035</v>
      </c>
      <c r="V8" s="12">
        <f>6757/864000</f>
        <v>0.007820601851851851</v>
      </c>
      <c r="W8" s="12">
        <f>3716/864000</f>
        <v>0.004300925925925926</v>
      </c>
      <c r="X8" s="12">
        <f>3283/864000</f>
        <v>0.0037997685185185187</v>
      </c>
      <c r="Y8" s="12">
        <f>5537/864000</f>
        <v>0.006408564814814815</v>
      </c>
    </row>
    <row r="9" spans="1:25" ht="15">
      <c r="A9" s="10">
        <v>4</v>
      </c>
      <c r="B9" s="9" t="s">
        <v>13</v>
      </c>
      <c r="C9" s="9" t="s">
        <v>14</v>
      </c>
      <c r="D9" s="9" t="s">
        <v>8</v>
      </c>
      <c r="E9" s="11" t="s">
        <v>15</v>
      </c>
      <c r="F9" s="12">
        <f>944/864000</f>
        <v>0.0010925925925925925</v>
      </c>
      <c r="G9" s="12">
        <f>944/864000</f>
        <v>0.0010925925925925925</v>
      </c>
      <c r="H9" s="12">
        <f>4157/864000</f>
        <v>0.004811342592592593</v>
      </c>
      <c r="I9" s="12">
        <f>10278/864000</f>
        <v>0.011895833333333333</v>
      </c>
      <c r="J9" s="12">
        <f>5194/864000</f>
        <v>0.006011574074074074</v>
      </c>
      <c r="K9" s="12">
        <f>3823/864000</f>
        <v>0.004424768518518519</v>
      </c>
      <c r="L9" s="12">
        <f>4001/864000</f>
        <v>0.004630787037037037</v>
      </c>
      <c r="M9" s="12">
        <f>9680/864000</f>
        <v>0.011203703703703704</v>
      </c>
      <c r="N9" s="12">
        <f>437/864000</f>
        <v>0.000505787037037037</v>
      </c>
      <c r="O9" s="12">
        <f>429/864000</f>
        <v>0.0004965277777777778</v>
      </c>
      <c r="P9" s="12">
        <f>950/864000</f>
        <v>0.001099537037037037</v>
      </c>
      <c r="Q9" s="12">
        <f>940/864000</f>
        <v>0.0010879629629629629</v>
      </c>
      <c r="R9" s="12">
        <f>6798/864000</f>
        <v>0.007868055555555555</v>
      </c>
      <c r="S9" s="12">
        <f>3410/864000</f>
        <v>0.003946759259259259</v>
      </c>
      <c r="T9" s="12">
        <f>3645/864000</f>
        <v>0.00421875</v>
      </c>
      <c r="U9" s="13">
        <f>7289/864000</f>
        <v>0.008436342592592593</v>
      </c>
      <c r="V9" s="13">
        <f>10896/864000</f>
        <v>0.012611111111111111</v>
      </c>
      <c r="W9" s="13">
        <f>5084/864000</f>
        <v>0.005884259259259259</v>
      </c>
      <c r="X9" s="13">
        <f>4586/864000</f>
        <v>0.005307870370370371</v>
      </c>
      <c r="Y9" s="13">
        <f>7673/864000</f>
        <v>0.008880787037037038</v>
      </c>
    </row>
    <row r="10" spans="1:25" ht="15">
      <c r="A10" s="10">
        <v>5</v>
      </c>
      <c r="B10" s="9" t="s">
        <v>16</v>
      </c>
      <c r="C10" s="9" t="s">
        <v>17</v>
      </c>
      <c r="D10" s="9" t="s">
        <v>8</v>
      </c>
      <c r="E10" s="11" t="s">
        <v>18</v>
      </c>
      <c r="F10" s="12">
        <f>966/864000</f>
        <v>0.0011180555555555555</v>
      </c>
      <c r="G10" s="12">
        <f>967/864000</f>
        <v>0.001119212962962963</v>
      </c>
      <c r="H10" s="12">
        <f>4098/864000</f>
        <v>0.004743055555555556</v>
      </c>
      <c r="I10" s="12">
        <f>9895/864000</f>
        <v>0.011452546296296296</v>
      </c>
      <c r="J10" s="12">
        <f>5315/864000</f>
        <v>0.006151620370370371</v>
      </c>
      <c r="K10" s="12">
        <f>3885/864000</f>
        <v>0.004496527777777778</v>
      </c>
      <c r="L10" s="12">
        <f>4064/864000</f>
        <v>0.004703703703703704</v>
      </c>
      <c r="M10" s="12">
        <f>12481/864000</f>
        <v>0.014445601851851852</v>
      </c>
      <c r="N10" s="12">
        <f>434/864000</f>
        <v>0.0005023148148148148</v>
      </c>
      <c r="O10" s="12">
        <f>423/864000</f>
        <v>0.0004895833333333333</v>
      </c>
      <c r="P10" s="12">
        <f>970/864000</f>
        <v>0.0011226851851851851</v>
      </c>
      <c r="Q10" s="12">
        <f>965/864000</f>
        <v>0.0011168981481481481</v>
      </c>
      <c r="R10" s="12">
        <f>6925/864000</f>
        <v>0.008015046296296296</v>
      </c>
      <c r="S10" s="12">
        <f>3275/864000</f>
        <v>0.003790509259259259</v>
      </c>
      <c r="T10" s="12">
        <f>3710/864000</f>
        <v>0.004293981481481481</v>
      </c>
      <c r="U10" s="12">
        <f>5203/864000</f>
        <v>0.006021990740740741</v>
      </c>
      <c r="V10" s="12">
        <f>6808/864000</f>
        <v>0.007879629629629629</v>
      </c>
      <c r="W10" s="12">
        <f>3696/864000</f>
        <v>0.004277777777777778</v>
      </c>
      <c r="X10" s="12">
        <f>3221/864000</f>
        <v>0.0037280092592592595</v>
      </c>
      <c r="Y10" s="12">
        <f>5385/864000</f>
        <v>0.006232638888888889</v>
      </c>
    </row>
    <row r="11" spans="1:25" ht="15">
      <c r="A11" s="10">
        <v>6</v>
      </c>
      <c r="B11" s="9" t="s">
        <v>19</v>
      </c>
      <c r="C11" s="9" t="s">
        <v>19</v>
      </c>
      <c r="D11" s="9" t="s">
        <v>20</v>
      </c>
      <c r="E11" s="11" t="s">
        <v>21</v>
      </c>
      <c r="F11" s="12">
        <f>943/864000</f>
        <v>0.001091435185185185</v>
      </c>
      <c r="G11" s="12">
        <f>951/864000</f>
        <v>0.0011006944444444445</v>
      </c>
      <c r="H11" s="12">
        <f>4112/864000</f>
        <v>0.004759259259259259</v>
      </c>
      <c r="I11" s="12">
        <f>9926/864000</f>
        <v>0.011488425925925926</v>
      </c>
      <c r="J11" s="12">
        <f>5223/864000</f>
        <v>0.006045138888888889</v>
      </c>
      <c r="K11" s="12">
        <f>3947/864000</f>
        <v>0.004568287037037037</v>
      </c>
      <c r="L11" s="12">
        <f>3994/864000</f>
        <v>0.004622685185185185</v>
      </c>
      <c r="M11" s="12">
        <f>9582/864000</f>
        <v>0.011090277777777777</v>
      </c>
      <c r="N11" s="12">
        <f>429/864000</f>
        <v>0.0004965277777777778</v>
      </c>
      <c r="O11" s="12">
        <f>427/864000</f>
        <v>0.000494212962962963</v>
      </c>
      <c r="P11" s="12">
        <f>943/864000</f>
        <v>0.001091435185185185</v>
      </c>
      <c r="Q11" s="12">
        <f>939/864000</f>
        <v>0.0010868055555555555</v>
      </c>
      <c r="R11" s="12">
        <f>6760/864000</f>
        <v>0.007824074074074074</v>
      </c>
      <c r="S11" s="12">
        <f>3199/864000</f>
        <v>0.0037025462962962962</v>
      </c>
      <c r="T11" s="12">
        <f>3674/864000</f>
        <v>0.004252314814814815</v>
      </c>
      <c r="U11" s="12">
        <f>5087/864000</f>
        <v>0.005887731481481482</v>
      </c>
      <c r="V11" s="12">
        <f>6526/864000</f>
        <v>0.007553240740740741</v>
      </c>
      <c r="W11" s="12">
        <f>3579/864000</f>
        <v>0.004142361111111111</v>
      </c>
      <c r="X11" s="12">
        <f>3123/864000</f>
        <v>0.0036145833333333334</v>
      </c>
      <c r="Y11" s="12">
        <f>5227/864000</f>
        <v>0.0060497685185185186</v>
      </c>
    </row>
    <row r="12" spans="1:25" ht="15">
      <c r="A12" s="10">
        <v>7</v>
      </c>
      <c r="B12" s="9" t="s">
        <v>22</v>
      </c>
      <c r="C12" s="9" t="s">
        <v>23</v>
      </c>
      <c r="D12" s="9" t="s">
        <v>8</v>
      </c>
      <c r="E12" s="11" t="s">
        <v>15</v>
      </c>
      <c r="F12" s="12">
        <f>953/864000</f>
        <v>0.0011030092592592593</v>
      </c>
      <c r="G12" s="12">
        <f>965/864000</f>
        <v>0.0011168981481481481</v>
      </c>
      <c r="H12" s="12">
        <f>3957/864000</f>
        <v>0.004579861111111111</v>
      </c>
      <c r="I12" s="12">
        <f>9442/864000</f>
        <v>0.01092824074074074</v>
      </c>
      <c r="J12" s="12">
        <f>5055/864000</f>
        <v>0.005850694444444445</v>
      </c>
      <c r="K12" s="12">
        <f>3665/864000</f>
        <v>0.004241898148148148</v>
      </c>
      <c r="L12" s="12">
        <f>3825/864000</f>
        <v>0.004427083333333333</v>
      </c>
      <c r="M12" s="12">
        <f>9333/864000</f>
        <v>0.010802083333333334</v>
      </c>
      <c r="N12" s="12">
        <f>436/864000</f>
        <v>0.0005046296296296296</v>
      </c>
      <c r="O12" s="12">
        <f>420/864000</f>
        <v>0.0004861111111111111</v>
      </c>
      <c r="P12" s="12">
        <f>950/864000</f>
        <v>0.001099537037037037</v>
      </c>
      <c r="Q12" s="12">
        <f>946/864000</f>
        <v>0.0010949074074074075</v>
      </c>
      <c r="R12" s="12">
        <f>6516/864000</f>
        <v>0.007541666666666667</v>
      </c>
      <c r="S12" s="12">
        <f>3098/864000</f>
        <v>0.003585648148148148</v>
      </c>
      <c r="T12" s="12">
        <f>3537/864000</f>
        <v>0.00409375</v>
      </c>
      <c r="U12" s="12">
        <f>4983/864000</f>
        <v>0.005767361111111111</v>
      </c>
      <c r="V12" s="12">
        <f>6415/864000</f>
        <v>0.007424768518518519</v>
      </c>
      <c r="W12" s="12">
        <f>3777/864000</f>
        <v>0.004371527777777778</v>
      </c>
      <c r="X12" s="12">
        <f>3092/864000</f>
        <v>0.0035787037037037037</v>
      </c>
      <c r="Y12" s="12">
        <f>5175/864000</f>
        <v>0.005989583333333334</v>
      </c>
    </row>
    <row r="13" spans="1:25" ht="15">
      <c r="A13" s="10">
        <v>8</v>
      </c>
      <c r="B13" s="9" t="s">
        <v>22</v>
      </c>
      <c r="C13" s="9" t="s">
        <v>24</v>
      </c>
      <c r="D13" s="9" t="s">
        <v>8</v>
      </c>
      <c r="E13" s="11" t="s">
        <v>15</v>
      </c>
      <c r="F13" s="12">
        <f>957/864000</f>
        <v>0.001107638888888889</v>
      </c>
      <c r="G13" s="12">
        <f>982/864000</f>
        <v>0.0011365740740740741</v>
      </c>
      <c r="H13" s="12">
        <f>4130/864000</f>
        <v>0.004780092592592593</v>
      </c>
      <c r="I13" s="12">
        <f>10141/864000</f>
        <v>0.011737268518518518</v>
      </c>
      <c r="J13" s="12">
        <f>5219/864000</f>
        <v>0.006040509259259259</v>
      </c>
      <c r="K13" s="12">
        <f>3835/864000</f>
        <v>0.004438657407407408</v>
      </c>
      <c r="L13" s="12">
        <f>3985/864000</f>
        <v>0.004612268518518518</v>
      </c>
      <c r="M13" s="13">
        <f>13228/864000</f>
        <v>0.015310185185185185</v>
      </c>
      <c r="N13" s="13">
        <f>1128/864000</f>
        <v>0.0013055555555555555</v>
      </c>
      <c r="O13" s="13">
        <f>1108/864000</f>
        <v>0.0012824074074074075</v>
      </c>
      <c r="P13" s="12">
        <f>952/864000</f>
        <v>0.001101851851851852</v>
      </c>
      <c r="Q13" s="12">
        <f>956/864000</f>
        <v>0.0011064814814814815</v>
      </c>
      <c r="R13" s="12">
        <f>6833/864000</f>
        <v>0.007908564814814814</v>
      </c>
      <c r="S13" s="12">
        <f>3205/864000</f>
        <v>0.0037094907407407406</v>
      </c>
      <c r="T13" s="12">
        <f>3663/864000</f>
        <v>0.004239583333333333</v>
      </c>
      <c r="U13" s="12">
        <f>5210/864000</f>
        <v>0.006030092592592593</v>
      </c>
      <c r="V13" s="12">
        <f>10596/864000</f>
        <v>0.012263888888888888</v>
      </c>
      <c r="W13" s="12">
        <f>3622/864000</f>
        <v>0.00419212962962963</v>
      </c>
      <c r="X13" s="12">
        <f>3195/864000</f>
        <v>0.0036979166666666666</v>
      </c>
      <c r="Y13" s="12">
        <f>5289/864000</f>
        <v>0.006121527777777778</v>
      </c>
    </row>
    <row r="14" spans="1:25" ht="15">
      <c r="A14" s="10">
        <v>9</v>
      </c>
      <c r="B14" s="9" t="s">
        <v>25</v>
      </c>
      <c r="C14" s="9" t="s">
        <v>26</v>
      </c>
      <c r="D14" s="9" t="s">
        <v>8</v>
      </c>
      <c r="E14" s="11" t="s">
        <v>15</v>
      </c>
      <c r="F14" s="12">
        <f>1023/864000</f>
        <v>0.0011840277777777778</v>
      </c>
      <c r="G14" s="12">
        <f>1012/864000</f>
        <v>0.0011712962962962964</v>
      </c>
      <c r="H14" s="12">
        <f>4270/864000</f>
        <v>0.00494212962962963</v>
      </c>
      <c r="I14" s="12">
        <f>10142/864000</f>
        <v>0.011738425925925926</v>
      </c>
      <c r="J14" s="12">
        <f>5422/864000</f>
        <v>0.006275462962962963</v>
      </c>
      <c r="K14" s="12">
        <f>3974/864000</f>
        <v>0.004599537037037037</v>
      </c>
      <c r="L14" s="12">
        <f>4208/864000</f>
        <v>0.00487037037037037</v>
      </c>
      <c r="M14" s="12">
        <f>10027/864000</f>
        <v>0.011605324074074073</v>
      </c>
      <c r="N14" s="12">
        <f>435/864000</f>
        <v>0.0005034722222222222</v>
      </c>
      <c r="O14" s="12">
        <f>433/864000</f>
        <v>0.0005011574074074074</v>
      </c>
      <c r="P14" s="12">
        <f>1006/864000</f>
        <v>0.0011643518518518517</v>
      </c>
      <c r="Q14" s="12">
        <f>1003/864000</f>
        <v>0.0011608796296296295</v>
      </c>
      <c r="R14" s="12">
        <f>7274/864000</f>
        <v>0.008418981481481482</v>
      </c>
      <c r="S14" s="12">
        <f>3467/864000</f>
        <v>0.004012731481481482</v>
      </c>
      <c r="T14" s="12">
        <f>3939/864000</f>
        <v>0.004559027777777778</v>
      </c>
      <c r="U14" s="12">
        <f>5443/864000</f>
        <v>0.006299768518518519</v>
      </c>
      <c r="V14" s="12">
        <f>7094/864000</f>
        <v>0.008210648148148147</v>
      </c>
      <c r="W14" s="12">
        <f>3871/864000</f>
        <v>0.004480324074074074</v>
      </c>
      <c r="X14" s="12">
        <f>3427/864000</f>
        <v>0.003966435185185185</v>
      </c>
      <c r="Y14" s="12">
        <f>5795/864000</f>
        <v>0.006707175925925926</v>
      </c>
    </row>
    <row r="15" spans="1:25" ht="15">
      <c r="A15" s="10">
        <v>10</v>
      </c>
      <c r="B15" s="9" t="s">
        <v>27</v>
      </c>
      <c r="C15" s="9" t="s">
        <v>27</v>
      </c>
      <c r="D15" s="9" t="s">
        <v>20</v>
      </c>
      <c r="E15" s="11" t="s">
        <v>21</v>
      </c>
      <c r="F15" s="12">
        <f>1013/864000</f>
        <v>0.0011724537037037038</v>
      </c>
      <c r="G15" s="12">
        <f>1010/864000</f>
        <v>0.0011689814814814816</v>
      </c>
      <c r="H15" s="12">
        <f>4564/864000</f>
        <v>0.0052824074074074075</v>
      </c>
      <c r="I15" s="12">
        <f>11085/864000</f>
        <v>0.012829861111111111</v>
      </c>
      <c r="J15" s="12">
        <f>5799/864000</f>
        <v>0.006711805555555556</v>
      </c>
      <c r="K15" s="12">
        <f>4228/864000</f>
        <v>0.004893518518518518</v>
      </c>
      <c r="L15" s="12">
        <f>4481/864000</f>
        <v>0.005186342592592592</v>
      </c>
      <c r="M15" s="12">
        <f>10694/864000</f>
        <v>0.012377314814814815</v>
      </c>
      <c r="N15" s="12">
        <f>463/864000</f>
        <v>0.0005358796296296296</v>
      </c>
      <c r="O15" s="12">
        <f>447/864000</f>
        <v>0.0005173611111111111</v>
      </c>
      <c r="P15" s="12">
        <f>997/864000</f>
        <v>0.0011539351851851851</v>
      </c>
      <c r="Q15" s="12">
        <f>967/864000</f>
        <v>0.001119212962962963</v>
      </c>
      <c r="R15" s="12">
        <f>7592/864000</f>
        <v>0.008787037037037038</v>
      </c>
      <c r="S15" s="12">
        <f>3597/864000</f>
        <v>0.004163194444444444</v>
      </c>
      <c r="T15" s="14">
        <f>4118/864000</f>
        <v>0.004766203703703704</v>
      </c>
      <c r="U15" s="12">
        <f>5679/864000</f>
        <v>0.006572916666666667</v>
      </c>
      <c r="V15" s="12">
        <f>7942/864000</f>
        <v>0.00919212962962963</v>
      </c>
      <c r="W15" s="12">
        <f>4052/864000</f>
        <v>0.004689814814814815</v>
      </c>
      <c r="X15" s="12">
        <f>3660/864000</f>
        <v>0.0042361111111111115</v>
      </c>
      <c r="Y15" s="12">
        <f>5961/864000</f>
        <v>0.006899305555555555</v>
      </c>
    </row>
    <row r="16" spans="1:25" ht="15">
      <c r="A16" s="10">
        <v>12</v>
      </c>
      <c r="B16" s="9" t="s">
        <v>28</v>
      </c>
      <c r="C16" s="9" t="s">
        <v>29</v>
      </c>
      <c r="D16" s="9" t="s">
        <v>8</v>
      </c>
      <c r="E16" s="11" t="s">
        <v>15</v>
      </c>
      <c r="F16" s="12">
        <f>982/864000</f>
        <v>0.0011365740740740741</v>
      </c>
      <c r="G16" s="12">
        <f>988/864000</f>
        <v>0.0011435185185185185</v>
      </c>
      <c r="H16" s="12">
        <f>4106/864000</f>
        <v>0.004752314814814815</v>
      </c>
      <c r="I16" s="12">
        <f>9900/864000</f>
        <v>0.011458333333333333</v>
      </c>
      <c r="J16" s="12">
        <f>5309/864000</f>
        <v>0.006144675925925926</v>
      </c>
      <c r="K16" s="12">
        <f>3896/864000</f>
        <v>0.004509259259259259</v>
      </c>
      <c r="L16" s="12">
        <f>3981/864000</f>
        <v>0.0046076388888888885</v>
      </c>
      <c r="M16" s="12">
        <f>9689/864000</f>
        <v>0.01121412037037037</v>
      </c>
      <c r="N16" s="12">
        <f>434/864000</f>
        <v>0.0005023148148148148</v>
      </c>
      <c r="O16" s="12">
        <f>418/864000</f>
        <v>0.0004837962962962963</v>
      </c>
      <c r="P16" s="12">
        <f>988/864000</f>
        <v>0.0011435185185185185</v>
      </c>
      <c r="Q16" s="12">
        <f>984/864000</f>
        <v>0.001138888888888889</v>
      </c>
      <c r="R16" s="12">
        <f>6813/864000</f>
        <v>0.007885416666666667</v>
      </c>
      <c r="S16" s="12">
        <f>3286/864000</f>
        <v>0.0038032407407407407</v>
      </c>
      <c r="T16" s="12">
        <f>3731/864000</f>
        <v>0.004318287037037037</v>
      </c>
      <c r="U16" s="12">
        <f>5137/864000</f>
        <v>0.005945601851851852</v>
      </c>
      <c r="V16" s="12">
        <f>6652/864000</f>
        <v>0.007699074074074074</v>
      </c>
      <c r="W16" s="12">
        <f>3655/864000</f>
        <v>0.004230324074074074</v>
      </c>
      <c r="X16" s="12">
        <f>3219/864000</f>
        <v>0.0037256944444444442</v>
      </c>
      <c r="Y16" s="12">
        <f>5376/864000</f>
        <v>0.006222222222222222</v>
      </c>
    </row>
    <row r="17" spans="1:25" ht="15">
      <c r="A17" s="10">
        <v>13</v>
      </c>
      <c r="B17" s="9" t="s">
        <v>30</v>
      </c>
      <c r="C17" s="9" t="s">
        <v>31</v>
      </c>
      <c r="D17" s="9" t="s">
        <v>8</v>
      </c>
      <c r="E17" s="11" t="s">
        <v>32</v>
      </c>
      <c r="F17" s="12">
        <f>1169/864000</f>
        <v>0.0013530092592592593</v>
      </c>
      <c r="G17" s="12">
        <f>1171/864000</f>
        <v>0.0013553240740740741</v>
      </c>
      <c r="H17" s="12">
        <f>5428/864000</f>
        <v>0.0062824074074074076</v>
      </c>
      <c r="I17" s="12">
        <f>12738/864000</f>
        <v>0.014743055555555556</v>
      </c>
      <c r="J17" s="12">
        <f>6974/864000</f>
        <v>0.00807175925925926</v>
      </c>
      <c r="K17" s="12">
        <f>5019/864000</f>
        <v>0.0058090277777777775</v>
      </c>
      <c r="L17" s="12">
        <f>5261/864000</f>
        <v>0.006089120370370371</v>
      </c>
      <c r="M17" s="12">
        <f>12456/864000</f>
        <v>0.014416666666666666</v>
      </c>
      <c r="N17" s="12">
        <f>528/864000</f>
        <v>0.0006111111111111111</v>
      </c>
      <c r="O17" s="12">
        <f>508/864000</f>
        <v>0.000587962962962963</v>
      </c>
      <c r="P17" s="12">
        <f>1189/864000</f>
        <v>0.0013761574074074073</v>
      </c>
      <c r="Q17" s="12">
        <f>1204/864000</f>
        <v>0.0013935185185185185</v>
      </c>
      <c r="R17" s="12">
        <f>10179/864000</f>
        <v>0.01178125</v>
      </c>
      <c r="S17" s="12">
        <f>4230/864000</f>
        <v>0.004895833333333334</v>
      </c>
      <c r="T17" s="12">
        <f>5021/864000</f>
        <v>0.005811342592592593</v>
      </c>
      <c r="U17" s="12">
        <f>6989/864000</f>
        <v>0.00808912037037037</v>
      </c>
      <c r="V17" s="12">
        <f>9470/864000</f>
        <v>0.010960648148148148</v>
      </c>
      <c r="W17" s="12">
        <f>4784/864000</f>
        <v>0.005537037037037037</v>
      </c>
      <c r="X17" s="12">
        <f>4286/864000</f>
        <v>0.004960648148148148</v>
      </c>
      <c r="Y17" s="12">
        <f>7373/864000</f>
        <v>0.008533564814814815</v>
      </c>
    </row>
    <row r="18" spans="1:25" ht="15">
      <c r="A18" s="10">
        <v>14</v>
      </c>
      <c r="B18" s="9" t="s">
        <v>33</v>
      </c>
      <c r="C18" s="9" t="s">
        <v>34</v>
      </c>
      <c r="D18" s="9" t="s">
        <v>20</v>
      </c>
      <c r="E18" s="11" t="s">
        <v>35</v>
      </c>
      <c r="F18" s="12">
        <f>953/864000</f>
        <v>0.0011030092592592593</v>
      </c>
      <c r="G18" s="12">
        <f>968/864000</f>
        <v>0.0011203703703703703</v>
      </c>
      <c r="H18" s="12">
        <f>4042/864000</f>
        <v>0.004678240740740741</v>
      </c>
      <c r="I18" s="12">
        <f>9762/864000</f>
        <v>0.011298611111111112</v>
      </c>
      <c r="J18" s="12">
        <f>5207/864000</f>
        <v>0.0060266203703703706</v>
      </c>
      <c r="K18" s="12">
        <f>3801/864000</f>
        <v>0.004399305555555556</v>
      </c>
      <c r="L18" s="12">
        <f>3922/864000</f>
        <v>0.004539351851851852</v>
      </c>
      <c r="M18" s="12">
        <f>9509/864000</f>
        <v>0.011005787037037038</v>
      </c>
      <c r="N18" s="12">
        <f>419/864000</f>
        <v>0.0004849537037037037</v>
      </c>
      <c r="O18" s="12">
        <f>420/864000</f>
        <v>0.0004861111111111111</v>
      </c>
      <c r="P18" s="12">
        <f>942/864000</f>
        <v>0.0010902777777777777</v>
      </c>
      <c r="Q18" s="12">
        <f>944/864000</f>
        <v>0.0010925925925925925</v>
      </c>
      <c r="R18" s="12">
        <f>6880/864000</f>
        <v>0.007962962962962963</v>
      </c>
      <c r="S18" s="12">
        <f>3215/864000</f>
        <v>0.0037210648148148146</v>
      </c>
      <c r="T18" s="12">
        <f>3677/864000</f>
        <v>0.004255787037037037</v>
      </c>
      <c r="U18" s="12">
        <f>5083/864000</f>
        <v>0.005883101851851852</v>
      </c>
      <c r="V18" s="12">
        <f>6605/864000</f>
        <v>0.007644675925925926</v>
      </c>
      <c r="W18" s="12">
        <f>3629/864000</f>
        <v>0.004200231481481482</v>
      </c>
      <c r="X18" s="12">
        <f>3144/864000</f>
        <v>0.003638888888888889</v>
      </c>
      <c r="Y18" s="12">
        <f>5289/864000</f>
        <v>0.006121527777777778</v>
      </c>
    </row>
    <row r="19" spans="1:25" ht="15">
      <c r="A19" s="10">
        <v>15</v>
      </c>
      <c r="B19" s="9" t="s">
        <v>36</v>
      </c>
      <c r="C19" s="9" t="s">
        <v>37</v>
      </c>
      <c r="D19" s="9" t="s">
        <v>5</v>
      </c>
      <c r="E19" s="11" t="s">
        <v>38</v>
      </c>
      <c r="F19" s="12">
        <f>1013/864000</f>
        <v>0.0011724537037037038</v>
      </c>
      <c r="G19" s="12">
        <f>985/864000</f>
        <v>0.0011400462962962963</v>
      </c>
      <c r="H19" s="12">
        <f>4104/864000</f>
        <v>0.00475</v>
      </c>
      <c r="I19" s="12">
        <f>10789/864000</f>
        <v>0.012487268518518519</v>
      </c>
      <c r="J19" s="12">
        <f>5193/864000</f>
        <v>0.0060104166666666665</v>
      </c>
      <c r="K19" s="12">
        <f>3837/864000</f>
        <v>0.004440972222222222</v>
      </c>
      <c r="L19" s="12">
        <f>5494/864000</f>
        <v>0.006358796296296296</v>
      </c>
      <c r="M19" s="12">
        <f>9748/864000</f>
        <v>0.011282407407407408</v>
      </c>
      <c r="N19" s="12">
        <f>429/864000</f>
        <v>0.0004965277777777778</v>
      </c>
      <c r="O19" s="12">
        <f>426/864000</f>
        <v>0.0004930555555555556</v>
      </c>
      <c r="P19" s="12">
        <f>973/864000</f>
        <v>0.0011261574074074073</v>
      </c>
      <c r="Q19" s="12">
        <f>973/864000</f>
        <v>0.0011261574074074073</v>
      </c>
      <c r="R19" s="12">
        <f>6809/864000</f>
        <v>0.007880787037037037</v>
      </c>
      <c r="S19" s="12">
        <f>3244/864000</f>
        <v>0.0037546296296296295</v>
      </c>
      <c r="T19" s="12">
        <f>3687/864000</f>
        <v>0.0042673611111111115</v>
      </c>
      <c r="U19" s="12">
        <f>5189/864000</f>
        <v>0.006005787037037037</v>
      </c>
      <c r="V19" s="12">
        <f>6767/864000</f>
        <v>0.007832175925925926</v>
      </c>
      <c r="W19" s="12">
        <f>3649/864000</f>
        <v>0.00422337962962963</v>
      </c>
      <c r="X19" s="12">
        <f>3207/864000</f>
        <v>0.0037118055555555554</v>
      </c>
      <c r="Y19" s="12">
        <f>5362/864000</f>
        <v>0.006206018518518519</v>
      </c>
    </row>
    <row r="20" spans="1:25" ht="15">
      <c r="A20" s="10">
        <v>16</v>
      </c>
      <c r="B20" s="9" t="s">
        <v>39</v>
      </c>
      <c r="C20" s="9" t="s">
        <v>40</v>
      </c>
      <c r="D20" s="9" t="s">
        <v>5</v>
      </c>
      <c r="E20" s="11" t="s">
        <v>6</v>
      </c>
      <c r="F20" s="12">
        <f>1008/864000</f>
        <v>0.0011666666666666668</v>
      </c>
      <c r="G20" s="12">
        <f>1016/864000</f>
        <v>0.001175925925925926</v>
      </c>
      <c r="H20" s="12">
        <f>4001/864000</f>
        <v>0.004630787037037037</v>
      </c>
      <c r="I20" s="12">
        <f>10097/864000</f>
        <v>0.011686342592592592</v>
      </c>
      <c r="J20" s="12">
        <f>5298/864000</f>
        <v>0.006131944444444444</v>
      </c>
      <c r="K20" s="12">
        <f>3903/864000</f>
        <v>0.004517361111111111</v>
      </c>
      <c r="L20" s="12">
        <f>4066/864000</f>
        <v>0.004706018518518518</v>
      </c>
      <c r="M20" s="12">
        <f>10081/864000</f>
        <v>0.011667824074074074</v>
      </c>
      <c r="N20" s="12">
        <f>424/864000</f>
        <v>0.0004907407407407407</v>
      </c>
      <c r="O20" s="12">
        <f>418/864000</f>
        <v>0.0004837962962962963</v>
      </c>
      <c r="P20" s="12">
        <f>999/864000</f>
        <v>0.00115625</v>
      </c>
      <c r="Q20" s="12">
        <f>1003/864000</f>
        <v>0.0011608796296296295</v>
      </c>
      <c r="R20" s="12">
        <f>6892/864000</f>
        <v>0.007976851851851851</v>
      </c>
      <c r="S20" s="12">
        <f>3305/864000</f>
        <v>0.0038252314814814815</v>
      </c>
      <c r="T20" s="12">
        <f>3613/864000</f>
        <v>0.004181712962962963</v>
      </c>
      <c r="U20" s="12"/>
      <c r="V20" s="12"/>
      <c r="W20" s="12"/>
      <c r="X20" s="12"/>
      <c r="Y20" s="12"/>
    </row>
    <row r="21" spans="1:25" ht="15">
      <c r="A21" s="10">
        <v>17</v>
      </c>
      <c r="B21" s="9" t="s">
        <v>41</v>
      </c>
      <c r="C21" s="9" t="s">
        <v>42</v>
      </c>
      <c r="D21" s="9" t="s">
        <v>8</v>
      </c>
      <c r="E21" s="11" t="s">
        <v>43</v>
      </c>
      <c r="F21" s="12">
        <f>983/864000</f>
        <v>0.0011377314814814815</v>
      </c>
      <c r="G21" s="12">
        <f>1000/864000</f>
        <v>0.0011574074074074073</v>
      </c>
      <c r="H21" s="13">
        <f>5728/864000</f>
        <v>0.006629629629629629</v>
      </c>
      <c r="I21" s="13">
        <f>13038/864000</f>
        <v>0.015090277777777777</v>
      </c>
      <c r="J21" s="12">
        <f>5511/864000</f>
        <v>0.006378472222222222</v>
      </c>
      <c r="K21" s="12">
        <f>3956/864000</f>
        <v>0.004578703703703704</v>
      </c>
      <c r="L21" s="12">
        <f>4188/864000</f>
        <v>0.004847222222222222</v>
      </c>
      <c r="M21" s="12">
        <f>10050/864000</f>
        <v>0.011631944444444445</v>
      </c>
      <c r="N21" s="12">
        <f>437/864000</f>
        <v>0.000505787037037037</v>
      </c>
      <c r="O21" s="12">
        <f>437/864000</f>
        <v>0.000505787037037037</v>
      </c>
      <c r="P21" s="12">
        <f>995/864000</f>
        <v>0.0011516203703703703</v>
      </c>
      <c r="Q21" s="12">
        <f>993/864000</f>
        <v>0.0011493055555555555</v>
      </c>
      <c r="R21" s="12">
        <f>7026/864000</f>
        <v>0.008131944444444445</v>
      </c>
      <c r="S21" s="12">
        <f>3348/864000</f>
        <v>0.003875</v>
      </c>
      <c r="T21" s="12">
        <f>3748/864000</f>
        <v>0.004337962962962963</v>
      </c>
      <c r="U21" s="12">
        <f>5374/864000</f>
        <v>0.0062199074074074075</v>
      </c>
      <c r="V21" s="12">
        <f>6995/864000</f>
        <v>0.008096064814814815</v>
      </c>
      <c r="W21" s="12">
        <f>3806/864000</f>
        <v>0.004405092592592592</v>
      </c>
      <c r="X21" s="12">
        <f>3272/864000</f>
        <v>0.003787037037037037</v>
      </c>
      <c r="Y21" s="12">
        <f>5472/864000</f>
        <v>0.006333333333333333</v>
      </c>
    </row>
    <row r="22" spans="1:25" ht="15">
      <c r="A22" s="10">
        <v>18</v>
      </c>
      <c r="B22" s="9" t="s">
        <v>44</v>
      </c>
      <c r="C22" s="9" t="s">
        <v>45</v>
      </c>
      <c r="D22" s="9" t="s">
        <v>5</v>
      </c>
      <c r="E22" s="11" t="s">
        <v>6</v>
      </c>
      <c r="F22" s="12">
        <f>1029/864000</f>
        <v>0.0011909722222222222</v>
      </c>
      <c r="G22" s="12">
        <f>1030/864000</f>
        <v>0.0011921296296296296</v>
      </c>
      <c r="H22" s="12">
        <f>4181/864000</f>
        <v>0.00483912037037037</v>
      </c>
      <c r="I22" s="12">
        <f>9894/864000</f>
        <v>0.01145138888888889</v>
      </c>
      <c r="J22" s="12">
        <f>5344/864000</f>
        <v>0.006185185185185185</v>
      </c>
      <c r="K22" s="12">
        <f>3871/864000</f>
        <v>0.004480324074074074</v>
      </c>
      <c r="L22" s="12">
        <f>4167/864000</f>
        <v>0.004822916666666666</v>
      </c>
      <c r="M22" s="12">
        <f>9868/864000</f>
        <v>0.011421296296296296</v>
      </c>
      <c r="N22" s="12">
        <f>434/864000</f>
        <v>0.0005023148148148148</v>
      </c>
      <c r="O22" s="12">
        <f>434/864000</f>
        <v>0.0005023148148148148</v>
      </c>
      <c r="P22" s="12">
        <f>1004/864000</f>
        <v>0.001162037037037037</v>
      </c>
      <c r="Q22" s="12">
        <f>1009/864000</f>
        <v>0.0011678240740740742</v>
      </c>
      <c r="R22" s="12">
        <f>6879/864000</f>
        <v>0.007961805555555555</v>
      </c>
      <c r="S22" s="12">
        <f>3265/864000</f>
        <v>0.003778935185185185</v>
      </c>
      <c r="T22" s="12">
        <f>10301/864000</f>
        <v>0.011922453703703704</v>
      </c>
      <c r="U22" s="12">
        <f>5564/864000</f>
        <v>0.006439814814814815</v>
      </c>
      <c r="V22" s="12">
        <f>7132/864000</f>
        <v>0.008254629629629629</v>
      </c>
      <c r="W22" s="12">
        <f>3778/864000</f>
        <v>0.004372685185185185</v>
      </c>
      <c r="X22" s="12">
        <f>3276/864000</f>
        <v>0.0037916666666666667</v>
      </c>
      <c r="Y22" s="12">
        <f>5435/864000</f>
        <v>0.00629050925925926</v>
      </c>
    </row>
    <row r="23" spans="1:25" ht="15">
      <c r="A23" s="10">
        <v>19</v>
      </c>
      <c r="B23" s="9" t="s">
        <v>46</v>
      </c>
      <c r="C23" s="9" t="s">
        <v>46</v>
      </c>
      <c r="D23" s="9" t="s">
        <v>5</v>
      </c>
      <c r="E23" s="11" t="s">
        <v>47</v>
      </c>
      <c r="F23" s="12">
        <f>995/864000</f>
        <v>0.0011516203703703703</v>
      </c>
      <c r="G23" s="12">
        <f>1010/864000</f>
        <v>0.0011689814814814816</v>
      </c>
      <c r="H23" s="12">
        <f>4083/864000</f>
        <v>0.004725694444444445</v>
      </c>
      <c r="I23" s="12">
        <f>10040/864000</f>
        <v>0.011620370370370371</v>
      </c>
      <c r="J23" s="12">
        <f>5427/864000</f>
        <v>0.00628125</v>
      </c>
      <c r="K23" s="12">
        <f>3949/864000</f>
        <v>0.004570601851851852</v>
      </c>
      <c r="L23" s="12">
        <f>4103/864000</f>
        <v>0.004748842592592593</v>
      </c>
      <c r="M23" s="12">
        <f>9900/864000</f>
        <v>0.011458333333333333</v>
      </c>
      <c r="N23" s="12">
        <f>435/864000</f>
        <v>0.0005034722222222222</v>
      </c>
      <c r="O23" s="12">
        <f>435/864000</f>
        <v>0.0005034722222222222</v>
      </c>
      <c r="P23" s="12">
        <f>1001/864000</f>
        <v>0.0011585648148148147</v>
      </c>
      <c r="Q23" s="12">
        <f>998/864000</f>
        <v>0.0011550925925925925</v>
      </c>
      <c r="R23" s="12">
        <f>6966/864000</f>
        <v>0.0080625</v>
      </c>
      <c r="S23" s="12">
        <f>3291/864000</f>
        <v>0.003809027777777778</v>
      </c>
      <c r="T23" s="14">
        <f>3780/864000</f>
        <v>0.004375</v>
      </c>
      <c r="U23" s="12">
        <f>5347/864000</f>
        <v>0.0061886574074074075</v>
      </c>
      <c r="V23" s="12">
        <f>7016/864000</f>
        <v>0.00812037037037037</v>
      </c>
      <c r="W23" s="12">
        <f>3853/864000</f>
        <v>0.00445949074074074</v>
      </c>
      <c r="X23" s="12">
        <f>3307/864000</f>
        <v>0.0038275462962962963</v>
      </c>
      <c r="Y23" s="12">
        <f>5543/864000</f>
        <v>0.00641550925925926</v>
      </c>
    </row>
    <row r="24" spans="1:25" ht="15">
      <c r="A24" s="10">
        <v>20</v>
      </c>
      <c r="B24" s="9" t="s">
        <v>48</v>
      </c>
      <c r="C24" s="9" t="s">
        <v>49</v>
      </c>
      <c r="D24" s="9" t="s">
        <v>8</v>
      </c>
      <c r="E24" s="11" t="s">
        <v>50</v>
      </c>
      <c r="F24" s="12">
        <f>1060/864000</f>
        <v>0.0012268518518518518</v>
      </c>
      <c r="G24" s="12">
        <f>1050/864000</f>
        <v>0.0012152777777777778</v>
      </c>
      <c r="H24" s="12">
        <f>4468/864000</f>
        <v>0.005171296296296296</v>
      </c>
      <c r="I24" s="12">
        <f>10731/864000</f>
        <v>0.012420138888888889</v>
      </c>
      <c r="J24" s="12">
        <f>5712/864000</f>
        <v>0.006611111111111111</v>
      </c>
      <c r="K24" s="12">
        <f>4146/864000</f>
        <v>0.004798611111111111</v>
      </c>
      <c r="L24" s="12">
        <f>4284/864000</f>
        <v>0.004958333333333334</v>
      </c>
      <c r="M24" s="12">
        <f>10573/864000</f>
        <v>0.012237268518518519</v>
      </c>
      <c r="N24" s="12">
        <f>471/864000</f>
        <v>0.0005451388888888888</v>
      </c>
      <c r="O24" s="12">
        <f>448/864000</f>
        <v>0.0005185185185185185</v>
      </c>
      <c r="P24" s="12">
        <f>1042/864000</f>
        <v>0.0012060185185185186</v>
      </c>
      <c r="Q24" s="12">
        <f>1036/864000</f>
        <v>0.001199074074074074</v>
      </c>
      <c r="R24" s="12">
        <f>7380/864000</f>
        <v>0.008541666666666666</v>
      </c>
      <c r="S24" s="12"/>
      <c r="T24" s="12"/>
      <c r="U24" s="12"/>
      <c r="V24" s="12"/>
      <c r="W24" s="12"/>
      <c r="X24" s="12"/>
      <c r="Y24" s="12"/>
    </row>
    <row r="25" spans="1:25" ht="15">
      <c r="A25" s="10">
        <v>21</v>
      </c>
      <c r="B25" s="9" t="s">
        <v>51</v>
      </c>
      <c r="C25" s="9" t="s">
        <v>52</v>
      </c>
      <c r="D25" s="9" t="s">
        <v>5</v>
      </c>
      <c r="E25" s="11" t="s">
        <v>53</v>
      </c>
      <c r="F25" s="12">
        <f>1022/864000</f>
        <v>0.0011828703703703704</v>
      </c>
      <c r="G25" s="12">
        <f>1004/864000</f>
        <v>0.001162037037037037</v>
      </c>
      <c r="H25" s="12">
        <f>4214/864000</f>
        <v>0.004877314814814815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">
      <c r="A26" s="10">
        <v>22</v>
      </c>
      <c r="B26" s="9" t="s">
        <v>54</v>
      </c>
      <c r="C26" s="9" t="s">
        <v>55</v>
      </c>
      <c r="D26" s="9" t="s">
        <v>5</v>
      </c>
      <c r="E26" s="11" t="s">
        <v>6</v>
      </c>
      <c r="F26" s="12">
        <f>1000/864000</f>
        <v>0.0011574074074074073</v>
      </c>
      <c r="G26" s="12">
        <f>1004/864000</f>
        <v>0.001162037037037037</v>
      </c>
      <c r="H26" s="12">
        <f>4414/864000</f>
        <v>0.005108796296296296</v>
      </c>
      <c r="I26" s="12">
        <f>10519/864000</f>
        <v>0.012174768518518519</v>
      </c>
      <c r="J26" s="12">
        <f>5676/864000</f>
        <v>0.006569444444444445</v>
      </c>
      <c r="K26" s="12">
        <f>4117/864000</f>
        <v>0.004765046296296296</v>
      </c>
      <c r="L26" s="12">
        <f>4376/864000</f>
        <v>0.0050648148148148145</v>
      </c>
      <c r="M26" s="12">
        <f>10498/864000</f>
        <v>0.012150462962962964</v>
      </c>
      <c r="N26" s="12">
        <f>441/864000</f>
        <v>0.0005104166666666666</v>
      </c>
      <c r="O26" s="12">
        <f>452/864000</f>
        <v>0.0005231481481481481</v>
      </c>
      <c r="P26" s="12">
        <f>992/864000</f>
        <v>0.0011481481481481481</v>
      </c>
      <c r="Q26" s="12">
        <f>1002/864000</f>
        <v>0.0011597222222222221</v>
      </c>
      <c r="R26" s="12">
        <f>7257/864000</f>
        <v>0.008399305555555556</v>
      </c>
      <c r="S26" s="12">
        <f>3399/864000</f>
        <v>0.003934027777777778</v>
      </c>
      <c r="T26" s="12">
        <f>4112/864000</f>
        <v>0.004759259259259259</v>
      </c>
      <c r="U26" s="13">
        <f>7299/864000</f>
        <v>0.008447916666666666</v>
      </c>
      <c r="V26" s="13">
        <f>19663/864000</f>
        <v>0.022758101851851852</v>
      </c>
      <c r="W26" s="12">
        <f>3959/864000</f>
        <v>0.004582175925925926</v>
      </c>
      <c r="X26" s="12">
        <f>3475/864000</f>
        <v>0.004021990740740741</v>
      </c>
      <c r="Y26" s="12">
        <f>5685/864000</f>
        <v>0.006579861111111111</v>
      </c>
    </row>
    <row r="27" spans="1:25" ht="15">
      <c r="A27" s="10">
        <v>23</v>
      </c>
      <c r="B27" s="9" t="s">
        <v>56</v>
      </c>
      <c r="C27" s="9" t="s">
        <v>57</v>
      </c>
      <c r="D27" s="9" t="s">
        <v>5</v>
      </c>
      <c r="E27" s="11" t="s">
        <v>6</v>
      </c>
      <c r="F27" s="12">
        <f>1023/864000</f>
        <v>0.0011840277777777778</v>
      </c>
      <c r="G27" s="12">
        <f>1023/864000</f>
        <v>0.0011840277777777778</v>
      </c>
      <c r="H27" s="12">
        <f>4433/864000</f>
        <v>0.005130787037037037</v>
      </c>
      <c r="I27" s="12">
        <f>10867/864000</f>
        <v>0.012577546296296297</v>
      </c>
      <c r="J27" s="12">
        <f>5771/864000</f>
        <v>0.006679398148148148</v>
      </c>
      <c r="K27" s="12">
        <f>4226/864000</f>
        <v>0.004891203703703704</v>
      </c>
      <c r="L27" s="12">
        <f>4380/864000</f>
        <v>0.005069444444444444</v>
      </c>
      <c r="M27" s="12">
        <f>10701/864000</f>
        <v>0.012385416666666666</v>
      </c>
      <c r="N27" s="12">
        <f>481/864000</f>
        <v>0.000556712962962963</v>
      </c>
      <c r="O27" s="12">
        <f>458/864000</f>
        <v>0.0005300925925925926</v>
      </c>
      <c r="P27" s="12">
        <f>1028/864000</f>
        <v>0.0011898148148148148</v>
      </c>
      <c r="Q27" s="12">
        <f>1015/864000</f>
        <v>0.0011747685185185186</v>
      </c>
      <c r="R27" s="12">
        <f>7514/864000</f>
        <v>0.00869675925925926</v>
      </c>
      <c r="S27" s="12">
        <f>3597/864000</f>
        <v>0.004163194444444444</v>
      </c>
      <c r="T27" s="12">
        <f>4080/864000</f>
        <v>0.004722222222222222</v>
      </c>
      <c r="U27" s="12">
        <f>5785/864000</f>
        <v>0.006695601851851852</v>
      </c>
      <c r="V27" s="12">
        <f>7500/864000</f>
        <v>0.008680555555555556</v>
      </c>
      <c r="W27" s="12">
        <f>4089/864000</f>
        <v>0.004732638888888889</v>
      </c>
      <c r="X27" s="12">
        <f>3566/864000</f>
        <v>0.0041273148148148146</v>
      </c>
      <c r="Y27" s="12">
        <f>5863/864000</f>
        <v>0.0067858796296296296</v>
      </c>
    </row>
    <row r="28" spans="1:25" ht="15">
      <c r="A28" s="10">
        <v>25</v>
      </c>
      <c r="B28" s="9" t="s">
        <v>58</v>
      </c>
      <c r="C28" s="9" t="s">
        <v>59</v>
      </c>
      <c r="D28" s="9" t="s">
        <v>60</v>
      </c>
      <c r="E28" s="11" t="s">
        <v>61</v>
      </c>
      <c r="F28" s="12">
        <f>1107/864000</f>
        <v>0.00128125</v>
      </c>
      <c r="G28" s="12">
        <f>1057/864000</f>
        <v>0.0012233796296296296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>
      <c r="A29" s="10">
        <v>26</v>
      </c>
      <c r="B29" s="9" t="s">
        <v>62</v>
      </c>
      <c r="C29" s="9" t="s">
        <v>63</v>
      </c>
      <c r="D29" s="9" t="s">
        <v>60</v>
      </c>
      <c r="E29" s="11" t="s">
        <v>61</v>
      </c>
      <c r="F29" s="12">
        <f>1068/864000</f>
        <v>0.001236111111111111</v>
      </c>
      <c r="G29" s="12">
        <f>1089/864000</f>
        <v>0.0012604166666666666</v>
      </c>
      <c r="H29" s="12">
        <f>4484/864000</f>
        <v>0.005189814814814815</v>
      </c>
      <c r="I29" s="12">
        <f>11004/864000</f>
        <v>0.012736111111111111</v>
      </c>
      <c r="J29" s="12">
        <f>5832/864000</f>
        <v>0.00675</v>
      </c>
      <c r="K29" s="12">
        <f>4297/864000</f>
        <v>0.00497337962962963</v>
      </c>
      <c r="L29" s="12"/>
      <c r="M29" s="12"/>
      <c r="N29" s="12"/>
      <c r="O29" s="12"/>
      <c r="P29" s="14">
        <f>1086/864000</f>
        <v>0.0012569444444444444</v>
      </c>
      <c r="Q29" s="14">
        <f>1107/864000</f>
        <v>0.00128125</v>
      </c>
      <c r="R29" s="12">
        <f>7886/864000</f>
        <v>0.009127314814814816</v>
      </c>
      <c r="S29" s="12">
        <f>3661/864000</f>
        <v>0.004237268518518519</v>
      </c>
      <c r="T29" s="12">
        <f>4164/864000</f>
        <v>0.004819444444444445</v>
      </c>
      <c r="U29" s="12">
        <f>5959/864000</f>
        <v>0.006896990740740741</v>
      </c>
      <c r="V29" s="12">
        <f>8236/864000</f>
        <v>0.009532407407407408</v>
      </c>
      <c r="W29" s="12">
        <f>4219/864000</f>
        <v>0.004883101851851852</v>
      </c>
      <c r="X29" s="12">
        <f>3642/864000</f>
        <v>0.004215277777777778</v>
      </c>
      <c r="Y29" s="12">
        <f>6092/864000</f>
        <v>0.007050925925925926</v>
      </c>
    </row>
    <row r="30" spans="1:25" ht="15">
      <c r="A30" s="10">
        <v>27</v>
      </c>
      <c r="B30" s="9" t="s">
        <v>64</v>
      </c>
      <c r="C30" s="9" t="s">
        <v>65</v>
      </c>
      <c r="D30" s="9" t="s">
        <v>5</v>
      </c>
      <c r="E30" s="11" t="s">
        <v>66</v>
      </c>
      <c r="F30" s="12">
        <f>1129/864000</f>
        <v>0.0013067129629629629</v>
      </c>
      <c r="G30" s="12">
        <f>1126/864000</f>
        <v>0.0013032407407407407</v>
      </c>
      <c r="H30" s="12">
        <f>6423/864000</f>
        <v>0.007434027777777778</v>
      </c>
      <c r="I30" s="12">
        <f>12463/864000</f>
        <v>0.014424768518518519</v>
      </c>
      <c r="J30" s="12">
        <f>6093/864000</f>
        <v>0.007052083333333333</v>
      </c>
      <c r="K30" s="12">
        <f>4483/864000</f>
        <v>0.0051886574074074075</v>
      </c>
      <c r="L30" s="12">
        <f>4685/864000</f>
        <v>0.005422453703703704</v>
      </c>
      <c r="M30" s="12">
        <f>10953/864000</f>
        <v>0.012677083333333334</v>
      </c>
      <c r="N30" s="12">
        <f>484/864000</f>
        <v>0.0005601851851851852</v>
      </c>
      <c r="O30" s="12">
        <f>483/864000</f>
        <v>0.0005590277777777778</v>
      </c>
      <c r="P30" s="12">
        <f>1115/864000</f>
        <v>0.0012905092592592593</v>
      </c>
      <c r="Q30" s="12">
        <f>1109/864000</f>
        <v>0.0012835648148148149</v>
      </c>
      <c r="R30" s="12">
        <f>8528/864000</f>
        <v>0.00987037037037037</v>
      </c>
      <c r="S30" s="12">
        <f>3653/864000</f>
        <v>0.0042280092592592595</v>
      </c>
      <c r="T30" s="12">
        <f>4326/864000</f>
        <v>0.005006944444444444</v>
      </c>
      <c r="U30" s="12">
        <f>5897/864000</f>
        <v>0.006825231481481482</v>
      </c>
      <c r="V30" s="12">
        <f>7856/864000</f>
        <v>0.009092592592592593</v>
      </c>
      <c r="W30" s="12">
        <f>4207/864000</f>
        <v>0.004869212962962963</v>
      </c>
      <c r="X30" s="12">
        <f>3619/864000</f>
        <v>0.004188657407407407</v>
      </c>
      <c r="Y30" s="12">
        <f>6095/864000</f>
        <v>0.007054398148148148</v>
      </c>
    </row>
    <row r="31" spans="1:25" ht="15">
      <c r="A31" s="10">
        <v>28</v>
      </c>
      <c r="B31" s="9" t="s">
        <v>67</v>
      </c>
      <c r="C31" s="9" t="s">
        <v>68</v>
      </c>
      <c r="D31" s="9" t="s">
        <v>69</v>
      </c>
      <c r="E31" s="11" t="s">
        <v>70</v>
      </c>
      <c r="F31" s="12">
        <f>1050/864000</f>
        <v>0.0012152777777777778</v>
      </c>
      <c r="G31" s="12">
        <f>1072/864000</f>
        <v>0.0012407407407407408</v>
      </c>
      <c r="H31" s="12">
        <f>4645/864000</f>
        <v>0.005376157407407408</v>
      </c>
      <c r="I31" s="12">
        <f>11119/864000</f>
        <v>0.012869212962962963</v>
      </c>
      <c r="J31" s="12">
        <f>5902/864000</f>
        <v>0.006831018518518518</v>
      </c>
      <c r="K31" s="12">
        <f>4341/864000</f>
        <v>0.005024305555555555</v>
      </c>
      <c r="L31" s="12">
        <f>4502/864000</f>
        <v>0.005210648148148148</v>
      </c>
      <c r="M31" s="12">
        <f>10843/864000</f>
        <v>0.012549768518518519</v>
      </c>
      <c r="N31" s="12">
        <f>472/864000</f>
        <v>0.0005462962962962962</v>
      </c>
      <c r="O31" s="12">
        <f>472/864000</f>
        <v>0.0005462962962962962</v>
      </c>
      <c r="P31" s="12">
        <f>1038/864000</f>
        <v>0.001201388888888889</v>
      </c>
      <c r="Q31" s="12">
        <f>1047/864000</f>
        <v>0.0012118055555555556</v>
      </c>
      <c r="R31" s="12">
        <f>7699/864000</f>
        <v>0.00891087962962963</v>
      </c>
      <c r="S31" s="12">
        <f>3667/864000</f>
        <v>0.004244212962962963</v>
      </c>
      <c r="T31" s="12">
        <f>4221/864000</f>
        <v>0.004885416666666666</v>
      </c>
      <c r="U31" s="12">
        <f>5864/864000</f>
        <v>0.006787037037037037</v>
      </c>
      <c r="V31" s="12">
        <f>7589/864000</f>
        <v>0.008783564814814815</v>
      </c>
      <c r="W31" s="12">
        <f>4162/864000</f>
        <v>0.0048171296296296295</v>
      </c>
      <c r="X31" s="12">
        <f>3621/864000</f>
        <v>0.004190972222222222</v>
      </c>
      <c r="Y31" s="12">
        <f>6140/864000</f>
        <v>0.007106481481481482</v>
      </c>
    </row>
    <row r="32" spans="1:25" ht="15">
      <c r="A32" s="10">
        <v>29</v>
      </c>
      <c r="B32" s="9" t="s">
        <v>71</v>
      </c>
      <c r="C32" s="9" t="s">
        <v>72</v>
      </c>
      <c r="D32" s="9" t="s">
        <v>5</v>
      </c>
      <c r="E32" s="11" t="s">
        <v>6</v>
      </c>
      <c r="F32" s="12">
        <f>1064/864000</f>
        <v>0.0012314814814814814</v>
      </c>
      <c r="G32" s="12">
        <f>1058/864000</f>
        <v>0.001224537037037037</v>
      </c>
      <c r="H32" s="12">
        <f>4630/864000</f>
        <v>0.005358796296296296</v>
      </c>
      <c r="I32" s="12">
        <f>11135/864000</f>
        <v>0.012887731481481481</v>
      </c>
      <c r="J32" s="12">
        <f>5949/864000</f>
        <v>0.006885416666666666</v>
      </c>
      <c r="K32" s="12">
        <f>4335/864000</f>
        <v>0.005017361111111111</v>
      </c>
      <c r="L32" s="12">
        <f>4576/864000</f>
        <v>0.005296296296296296</v>
      </c>
      <c r="M32" s="12">
        <f>10937/864000</f>
        <v>0.012658564814814815</v>
      </c>
      <c r="N32" s="12">
        <f>463/864000</f>
        <v>0.0005358796296296296</v>
      </c>
      <c r="O32" s="12">
        <f>464/864000</f>
        <v>0.000537037037037037</v>
      </c>
      <c r="P32" s="12">
        <f>1044/864000</f>
        <v>0.0012083333333333334</v>
      </c>
      <c r="Q32" s="12">
        <f>1031/864000</f>
        <v>0.001193287037037037</v>
      </c>
      <c r="R32" s="12">
        <f>7863/864000</f>
        <v>0.009100694444444444</v>
      </c>
      <c r="S32" s="12">
        <f>3654/864000</f>
        <v>0.004229166666666667</v>
      </c>
      <c r="T32" s="12">
        <f>4200/864000</f>
        <v>0.004861111111111111</v>
      </c>
      <c r="U32" s="12">
        <f>5934/864000</f>
        <v>0.006868055555555555</v>
      </c>
      <c r="V32" s="12">
        <f>7792/864000</f>
        <v>0.009018518518518518</v>
      </c>
      <c r="W32" s="12">
        <f>4213/864000</f>
        <v>0.004876157407407407</v>
      </c>
      <c r="X32" s="12">
        <f>3657/864000</f>
        <v>0.004232638888888889</v>
      </c>
      <c r="Y32" s="12">
        <f>6277/864000</f>
        <v>0.007265046296296296</v>
      </c>
    </row>
    <row r="33" spans="1:25" ht="15">
      <c r="A33" s="10">
        <v>30</v>
      </c>
      <c r="B33" s="9" t="s">
        <v>73</v>
      </c>
      <c r="C33" s="9" t="s">
        <v>74</v>
      </c>
      <c r="D33" s="9" t="s">
        <v>5</v>
      </c>
      <c r="E33" s="11" t="s">
        <v>6</v>
      </c>
      <c r="F33" s="12">
        <f>1086/864000</f>
        <v>0.0012569444444444444</v>
      </c>
      <c r="G33" s="12">
        <f>1096/864000</f>
        <v>0.0012685185185185184</v>
      </c>
      <c r="H33" s="12">
        <f>4544/864000</f>
        <v>0.0052592592592592595</v>
      </c>
      <c r="I33" s="12">
        <f>11322/864000</f>
        <v>0.013104166666666667</v>
      </c>
      <c r="J33" s="12">
        <f>6012/864000</f>
        <v>0.006958333333333334</v>
      </c>
      <c r="K33" s="12">
        <f>4214/864000</f>
        <v>0.004877314814814815</v>
      </c>
      <c r="L33" s="12">
        <f>4352/864000</f>
        <v>0.005037037037037037</v>
      </c>
      <c r="M33" s="12">
        <f>10979/864000</f>
        <v>0.012707175925925926</v>
      </c>
      <c r="N33" s="12">
        <f>482/864000</f>
        <v>0.0005578703703703704</v>
      </c>
      <c r="O33" s="12">
        <f>498/864000</f>
        <v>0.0005763888888888889</v>
      </c>
      <c r="P33" s="12">
        <f>1147/864000</f>
        <v>0.0013275462962962963</v>
      </c>
      <c r="Q33" s="12">
        <f>1116/864000</f>
        <v>0.0012916666666666667</v>
      </c>
      <c r="R33" s="12">
        <f>7626/864000</f>
        <v>0.008826388888888889</v>
      </c>
      <c r="S33" s="12">
        <f>3692/864000</f>
        <v>0.004273148148148148</v>
      </c>
      <c r="T33" s="12">
        <f>4186/864000</f>
        <v>0.004844907407407407</v>
      </c>
      <c r="U33" s="12">
        <f>5877/864000</f>
        <v>0.006802083333333334</v>
      </c>
      <c r="V33" s="12">
        <f>7528/864000</f>
        <v>0.008712962962962962</v>
      </c>
      <c r="W33" s="12">
        <f>4191/864000</f>
        <v>0.004850694444444445</v>
      </c>
      <c r="X33" s="12">
        <f>3663/864000</f>
        <v>0.004239583333333333</v>
      </c>
      <c r="Y33" s="12">
        <f>5964/864000</f>
        <v>0.006902777777777778</v>
      </c>
    </row>
    <row r="34" spans="1:25" ht="15">
      <c r="A34" s="10">
        <v>31</v>
      </c>
      <c r="B34" s="9" t="s">
        <v>75</v>
      </c>
      <c r="C34" s="9" t="s">
        <v>76</v>
      </c>
      <c r="D34" s="9" t="s">
        <v>8</v>
      </c>
      <c r="E34" s="11" t="s">
        <v>77</v>
      </c>
      <c r="F34" s="12">
        <f>1023/864000</f>
        <v>0.0011840277777777778</v>
      </c>
      <c r="G34" s="12">
        <f>1018/864000</f>
        <v>0.0011782407407407408</v>
      </c>
      <c r="H34" s="12">
        <f>4655/864000</f>
        <v>0.005387731481481481</v>
      </c>
      <c r="I34" s="12">
        <f>11333/864000</f>
        <v>0.013116898148148148</v>
      </c>
      <c r="J34" s="12">
        <f>5955/864000</f>
        <v>0.006892361111111111</v>
      </c>
      <c r="K34" s="12">
        <f>4362/864000</f>
        <v>0.005048611111111111</v>
      </c>
      <c r="L34" s="12">
        <f>4603/864000</f>
        <v>0.005327546296296296</v>
      </c>
      <c r="M34" s="12">
        <f>13861/864000</f>
        <v>0.016042824074074074</v>
      </c>
      <c r="N34" s="12">
        <f>570/864000</f>
        <v>0.0006597222222222222</v>
      </c>
      <c r="O34" s="12">
        <f>573/864000</f>
        <v>0.0006631944444444444</v>
      </c>
      <c r="P34" s="12">
        <f>1000/864000</f>
        <v>0.0011574074074074073</v>
      </c>
      <c r="Q34" s="12">
        <f>992/864000</f>
        <v>0.0011481481481481481</v>
      </c>
      <c r="R34" s="12">
        <f>7740/864000</f>
        <v>0.008958333333333334</v>
      </c>
      <c r="S34" s="12">
        <f>3874/864000</f>
        <v>0.0044837962962962965</v>
      </c>
      <c r="T34" s="12">
        <f>4199/864000</f>
        <v>0.004859953703703704</v>
      </c>
      <c r="U34" s="12">
        <f>5973/864000</f>
        <v>0.006913194444444444</v>
      </c>
      <c r="V34" s="12">
        <f>7949/864000</f>
        <v>0.009200231481481481</v>
      </c>
      <c r="W34" s="12">
        <f>4265/864000</f>
        <v>0.004936342592592593</v>
      </c>
      <c r="X34" s="12">
        <f>3808/864000</f>
        <v>0.004407407407407408</v>
      </c>
      <c r="Y34" s="12">
        <f>6426/864000</f>
        <v>0.0074375</v>
      </c>
    </row>
    <row r="35" spans="1:25" ht="15">
      <c r="A35" s="10">
        <v>32</v>
      </c>
      <c r="B35" s="9" t="s">
        <v>78</v>
      </c>
      <c r="C35" s="9" t="s">
        <v>79</v>
      </c>
      <c r="D35" s="9" t="s">
        <v>5</v>
      </c>
      <c r="E35" s="11" t="s">
        <v>80</v>
      </c>
      <c r="F35" s="12">
        <f>1018/864000</f>
        <v>0.0011782407407407408</v>
      </c>
      <c r="G35" s="12">
        <f>1023/864000</f>
        <v>0.0011840277777777778</v>
      </c>
      <c r="H35" s="12">
        <f>4568/864000</f>
        <v>0.005287037037037037</v>
      </c>
      <c r="I35" s="12">
        <f>11155/864000</f>
        <v>0.01291087962962963</v>
      </c>
      <c r="J35" s="12">
        <f>5946/864000</f>
        <v>0.006881944444444445</v>
      </c>
      <c r="K35" s="12">
        <f>4463/864000</f>
        <v>0.0051655092592592594</v>
      </c>
      <c r="L35" s="12">
        <f>4589/864000</f>
        <v>0.005311342592592592</v>
      </c>
      <c r="M35" s="12">
        <f>11049/864000</f>
        <v>0.012788194444444444</v>
      </c>
      <c r="N35" s="12">
        <f>473/864000</f>
        <v>0.0005474537037037038</v>
      </c>
      <c r="O35" s="12">
        <f>508/864000</f>
        <v>0.000587962962962963</v>
      </c>
      <c r="P35" s="12">
        <f>1004/864000</f>
        <v>0.001162037037037037</v>
      </c>
      <c r="Q35" s="12">
        <f>1015/864000</f>
        <v>0.0011747685185185186</v>
      </c>
      <c r="R35" s="12">
        <f>7752/864000</f>
        <v>0.008972222222222222</v>
      </c>
      <c r="S35" s="12">
        <f>3720/864000</f>
        <v>0.0043055555555555555</v>
      </c>
      <c r="T35" s="12">
        <f>4348/864000</f>
        <v>0.005032407407407407</v>
      </c>
      <c r="U35" s="12">
        <f>5876/864000</f>
        <v>0.0068009259259259255</v>
      </c>
      <c r="V35" s="12">
        <f>15281/864000</f>
        <v>0.017686342592592594</v>
      </c>
      <c r="W35" s="12">
        <f>4291/864000</f>
        <v>0.004966435185185185</v>
      </c>
      <c r="X35" s="12">
        <f>3750/864000</f>
        <v>0.004340277777777778</v>
      </c>
      <c r="Y35" s="12">
        <f>6398/864000</f>
        <v>0.0074050925925925925</v>
      </c>
    </row>
    <row r="36" spans="1:25" ht="15">
      <c r="A36" s="10">
        <v>33</v>
      </c>
      <c r="B36" s="9" t="s">
        <v>81</v>
      </c>
      <c r="C36" s="9" t="s">
        <v>82</v>
      </c>
      <c r="D36" s="9" t="s">
        <v>83</v>
      </c>
      <c r="E36" s="11" t="s">
        <v>84</v>
      </c>
      <c r="F36" s="12">
        <f>1075/864000</f>
        <v>0.001244212962962963</v>
      </c>
      <c r="G36" s="12">
        <f>1079/864000</f>
        <v>0.0012488425925925926</v>
      </c>
      <c r="H36" s="12">
        <f>4653/864000</f>
        <v>0.005385416666666667</v>
      </c>
      <c r="I36" s="12">
        <f>11505/864000</f>
        <v>0.013315972222222222</v>
      </c>
      <c r="J36" s="12">
        <f>6157/864000</f>
        <v>0.0071261574074074074</v>
      </c>
      <c r="K36" s="12">
        <f>4413/864000</f>
        <v>0.005107638888888889</v>
      </c>
      <c r="L36" s="12">
        <f>4649/864000</f>
        <v>0.005380787037037037</v>
      </c>
      <c r="M36" s="12">
        <f>11218/864000</f>
        <v>0.012983796296296297</v>
      </c>
      <c r="N36" s="12">
        <f>485/864000</f>
        <v>0.0005613425925925926</v>
      </c>
      <c r="O36" s="12">
        <f>476/864000</f>
        <v>0.000550925925925926</v>
      </c>
      <c r="P36" s="12">
        <f>1062/864000</f>
        <v>0.0012291666666666666</v>
      </c>
      <c r="Q36" s="12">
        <f>1058/864000</f>
        <v>0.001224537037037037</v>
      </c>
      <c r="R36" s="12">
        <f>7714/864000</f>
        <v>0.00892824074074074</v>
      </c>
      <c r="S36" s="12">
        <f>3630/864000</f>
        <v>0.004201388888888889</v>
      </c>
      <c r="T36" s="12">
        <f>4197/864000</f>
        <v>0.004857638888888889</v>
      </c>
      <c r="U36" s="12">
        <f>5946/864000</f>
        <v>0.006881944444444445</v>
      </c>
      <c r="V36" s="12">
        <f>8779/864000</f>
        <v>0.010160879629629629</v>
      </c>
      <c r="W36" s="12">
        <f>4317/864000</f>
        <v>0.004996527777777778</v>
      </c>
      <c r="X36" s="12">
        <f>3718/864000</f>
        <v>0.004303240740740741</v>
      </c>
      <c r="Y36" s="12">
        <f>6280/864000</f>
        <v>0.007268518518518519</v>
      </c>
    </row>
    <row r="37" spans="1:25" ht="15">
      <c r="A37" s="10">
        <v>34</v>
      </c>
      <c r="B37" s="9" t="s">
        <v>85</v>
      </c>
      <c r="C37" s="9" t="s">
        <v>86</v>
      </c>
      <c r="D37" s="9" t="s">
        <v>20</v>
      </c>
      <c r="E37" s="11" t="s">
        <v>87</v>
      </c>
      <c r="F37" s="12">
        <f>1221/864000</f>
        <v>0.0014131944444444444</v>
      </c>
      <c r="G37" s="12">
        <f>1150/864000</f>
        <v>0.0013310185185185185</v>
      </c>
      <c r="H37" s="12">
        <f>4525/864000</f>
        <v>0.005237268518518519</v>
      </c>
      <c r="I37" s="12">
        <f>11227/864000</f>
        <v>0.012994212962962963</v>
      </c>
      <c r="J37" s="12">
        <f>5905/864000</f>
        <v>0.006834490740740741</v>
      </c>
      <c r="K37" s="12">
        <f>4332/864000</f>
        <v>0.005013888888888889</v>
      </c>
      <c r="L37" s="12">
        <f>4624/864000</f>
        <v>0.0053518518518518516</v>
      </c>
      <c r="M37" s="12">
        <f>11010/864000</f>
        <v>0.012743055555555556</v>
      </c>
      <c r="N37" s="12">
        <f>482/864000</f>
        <v>0.0005578703703703704</v>
      </c>
      <c r="O37" s="12">
        <f>473/864000</f>
        <v>0.0005474537037037038</v>
      </c>
      <c r="P37" s="12">
        <f>1075/864000</f>
        <v>0.001244212962962963</v>
      </c>
      <c r="Q37" s="12">
        <f>1097/864000</f>
        <v>0.0012696759259259258</v>
      </c>
      <c r="R37" s="12">
        <f>7899/864000</f>
        <v>0.009142361111111112</v>
      </c>
      <c r="S37" s="12">
        <f>3726/864000</f>
        <v>0.0043125</v>
      </c>
      <c r="T37" s="12">
        <f>4235/864000</f>
        <v>0.00490162037037037</v>
      </c>
      <c r="U37" s="12">
        <f>5818/864000</f>
        <v>0.006733796296296296</v>
      </c>
      <c r="V37" s="12">
        <f>7662/864000</f>
        <v>0.008868055555555556</v>
      </c>
      <c r="W37" s="12">
        <f>4274/864000</f>
        <v>0.004946759259259259</v>
      </c>
      <c r="X37" s="12">
        <f>3795/864000</f>
        <v>0.004392361111111111</v>
      </c>
      <c r="Y37" s="12">
        <f>6263/864000</f>
        <v>0.007248842592592592</v>
      </c>
    </row>
    <row r="38" spans="1:25" ht="15">
      <c r="A38" s="10">
        <v>35</v>
      </c>
      <c r="B38" s="9" t="s">
        <v>88</v>
      </c>
      <c r="C38" s="9" t="s">
        <v>88</v>
      </c>
      <c r="D38" s="9" t="s">
        <v>89</v>
      </c>
      <c r="E38" s="11" t="s">
        <v>90</v>
      </c>
      <c r="F38" s="12">
        <f>1136/864000</f>
        <v>0.0013148148148148149</v>
      </c>
      <c r="G38" s="12">
        <f>1128/864000</f>
        <v>0.0013055555555555555</v>
      </c>
      <c r="H38" s="12">
        <f>4757/864000</f>
        <v>0.005505787037037037</v>
      </c>
      <c r="I38" s="12">
        <f>11542/864000</f>
        <v>0.013358796296296296</v>
      </c>
      <c r="J38" s="12">
        <f>6119/864000</f>
        <v>0.007082175925925926</v>
      </c>
      <c r="K38" s="12">
        <f>4494/864000</f>
        <v>0.005201388888888889</v>
      </c>
      <c r="L38" s="12">
        <f>4604/864000</f>
        <v>0.0053287037037037036</v>
      </c>
      <c r="M38" s="12">
        <f>11340/864000</f>
        <v>0.013125</v>
      </c>
      <c r="N38" s="12">
        <f>508/864000</f>
        <v>0.000587962962962963</v>
      </c>
      <c r="O38" s="12">
        <f>489/864000</f>
        <v>0.0005659722222222223</v>
      </c>
      <c r="P38" s="12">
        <f>1142/864000</f>
        <v>0.0013217592592592593</v>
      </c>
      <c r="Q38" s="12">
        <f>1104/864000</f>
        <v>0.0012777777777777779</v>
      </c>
      <c r="R38" s="12">
        <f>8100/864000</f>
        <v>0.009375</v>
      </c>
      <c r="S38" s="12">
        <f>3856/864000</f>
        <v>0.004462962962962963</v>
      </c>
      <c r="T38" s="12">
        <f>4420/864000</f>
        <v>0.005115740740740741</v>
      </c>
      <c r="U38" s="12">
        <f>6120/864000</f>
        <v>0.007083333333333333</v>
      </c>
      <c r="V38" s="12">
        <f>7944/864000</f>
        <v>0.009194444444444444</v>
      </c>
      <c r="W38" s="12">
        <f>4359/864000</f>
        <v>0.005045138888888889</v>
      </c>
      <c r="X38" s="12">
        <f>3746/864000</f>
        <v>0.004335648148148148</v>
      </c>
      <c r="Y38" s="12">
        <f>6441/864000</f>
        <v>0.007454861111111111</v>
      </c>
    </row>
    <row r="39" spans="1:25" ht="15">
      <c r="A39" s="10">
        <v>37</v>
      </c>
      <c r="B39" s="9" t="s">
        <v>91</v>
      </c>
      <c r="C39" s="9" t="s">
        <v>91</v>
      </c>
      <c r="D39" s="9" t="s">
        <v>5</v>
      </c>
      <c r="E39" s="11" t="s">
        <v>6</v>
      </c>
      <c r="F39" s="12">
        <f>1098/864000</f>
        <v>0.0012708333333333332</v>
      </c>
      <c r="G39" s="12">
        <f>1108/864000</f>
        <v>0.0012824074074074075</v>
      </c>
      <c r="H39" s="12">
        <f>4494/864000</f>
        <v>0.005201388888888889</v>
      </c>
      <c r="I39" s="12">
        <f>17556/864000</f>
        <v>0.020319444444444446</v>
      </c>
      <c r="J39" s="12">
        <f>5785/864000</f>
        <v>0.006695601851851852</v>
      </c>
      <c r="K39" s="12">
        <f>4163/864000</f>
        <v>0.004818287037037037</v>
      </c>
      <c r="L39" s="12">
        <f>4354/864000</f>
        <v>0.005039351851851852</v>
      </c>
      <c r="M39" s="12">
        <f>10614/864000</f>
        <v>0.012284722222222223</v>
      </c>
      <c r="N39" s="12">
        <f>465/864000</f>
        <v>0.0005381944444444444</v>
      </c>
      <c r="O39" s="12">
        <f>457/864000</f>
        <v>0.0005289351851851852</v>
      </c>
      <c r="P39" s="12">
        <f>1051/864000</f>
        <v>0.0012164351851851852</v>
      </c>
      <c r="Q39" s="12">
        <f>1041/864000</f>
        <v>0.0012048611111111112</v>
      </c>
      <c r="R39" s="12">
        <f>7745/864000</f>
        <v>0.00896412037037037</v>
      </c>
      <c r="S39" s="12">
        <f>3602/864000</f>
        <v>0.004168981481481482</v>
      </c>
      <c r="T39" s="12">
        <f>4715/864000</f>
        <v>0.005457175925925926</v>
      </c>
      <c r="U39" s="12">
        <f>5773/864000</f>
        <v>0.006681712962962963</v>
      </c>
      <c r="V39" s="12">
        <f>7537/864000</f>
        <v>0.00872337962962963</v>
      </c>
      <c r="W39" s="12">
        <f>4141/864000</f>
        <v>0.004792824074074074</v>
      </c>
      <c r="X39" s="12">
        <f>3586/864000</f>
        <v>0.004150462962962963</v>
      </c>
      <c r="Y39" s="12">
        <f>5929/864000</f>
        <v>0.006862268518518518</v>
      </c>
    </row>
    <row r="40" spans="1:25" ht="15">
      <c r="A40" s="10">
        <v>38</v>
      </c>
      <c r="B40" s="9" t="s">
        <v>92</v>
      </c>
      <c r="C40" s="9" t="s">
        <v>93</v>
      </c>
      <c r="D40" s="9" t="s">
        <v>89</v>
      </c>
      <c r="E40" s="11" t="s">
        <v>94</v>
      </c>
      <c r="F40" s="12">
        <f>1131/864000</f>
        <v>0.0013090277777777779</v>
      </c>
      <c r="G40" s="12">
        <f>1118/864000</f>
        <v>0.0012939814814814815</v>
      </c>
      <c r="H40" s="12">
        <f>4495/864000</f>
        <v>0.005202546296296296</v>
      </c>
      <c r="I40" s="12">
        <f>11201/864000</f>
        <v>0.01296412037037037</v>
      </c>
      <c r="J40" s="12">
        <f>5963/864000</f>
        <v>0.0069016203703703705</v>
      </c>
      <c r="K40" s="12">
        <f>4424/864000</f>
        <v>0.005120370370370371</v>
      </c>
      <c r="L40" s="12">
        <f>4456/864000</f>
        <v>0.005157407407407407</v>
      </c>
      <c r="M40" s="12">
        <f>11138/864000</f>
        <v>0.012891203703703703</v>
      </c>
      <c r="N40" s="12">
        <f>491/864000</f>
        <v>0.0005682870370370371</v>
      </c>
      <c r="O40" s="12">
        <f>496/864000</f>
        <v>0.0005740740740740741</v>
      </c>
      <c r="P40" s="12">
        <f>1092/864000</f>
        <v>0.0012638888888888888</v>
      </c>
      <c r="Q40" s="12">
        <f>1088/864000</f>
        <v>0.0012592592592592592</v>
      </c>
      <c r="R40" s="12">
        <f>7684/864000</f>
        <v>0.00889351851851852</v>
      </c>
      <c r="S40" s="12">
        <f>3830/864000</f>
        <v>0.00443287037037037</v>
      </c>
      <c r="T40" s="12">
        <f>4228/864000</f>
        <v>0.004893518518518518</v>
      </c>
      <c r="U40" s="12">
        <f>5903/864000</f>
        <v>0.006832175925925926</v>
      </c>
      <c r="V40" s="12">
        <f>7631/864000</f>
        <v>0.008832175925925926</v>
      </c>
      <c r="W40" s="12">
        <f>4339/864000</f>
        <v>0.005021990740740741</v>
      </c>
      <c r="X40" s="12">
        <f>3780/864000</f>
        <v>0.004375</v>
      </c>
      <c r="Y40" s="12">
        <f>6147/864000</f>
        <v>0.007114583333333333</v>
      </c>
    </row>
    <row r="41" spans="1:25" ht="15">
      <c r="A41" s="10">
        <v>39</v>
      </c>
      <c r="B41" s="9" t="s">
        <v>95</v>
      </c>
      <c r="C41" s="9" t="s">
        <v>96</v>
      </c>
      <c r="D41" s="9" t="s">
        <v>5</v>
      </c>
      <c r="E41" s="11" t="s">
        <v>6</v>
      </c>
      <c r="F41" s="12">
        <f>1072/864000</f>
        <v>0.0012407407407407408</v>
      </c>
      <c r="G41" s="12">
        <f>1084/864000</f>
        <v>0.0012546296296296296</v>
      </c>
      <c r="H41" s="12">
        <f>4630/864000</f>
        <v>0.005358796296296296</v>
      </c>
      <c r="I41" s="12">
        <f>11399/864000</f>
        <v>0.013193287037037036</v>
      </c>
      <c r="J41" s="12">
        <f>6114/864000</f>
        <v>0.007076388888888889</v>
      </c>
      <c r="K41" s="12">
        <f>4441/864000</f>
        <v>0.005140046296296296</v>
      </c>
      <c r="L41" s="12">
        <f>4610/864000</f>
        <v>0.005335648148148148</v>
      </c>
      <c r="M41" s="12">
        <f>11294/864000</f>
        <v>0.013071759259259259</v>
      </c>
      <c r="N41" s="12">
        <f>468/864000</f>
        <v>0.0005416666666666666</v>
      </c>
      <c r="O41" s="12">
        <f>480/864000</f>
        <v>0.0005555555555555556</v>
      </c>
      <c r="P41" s="12">
        <f>1060/864000</f>
        <v>0.0012268518518518518</v>
      </c>
      <c r="Q41" s="12">
        <f>1059/864000</f>
        <v>0.0012256944444444444</v>
      </c>
      <c r="R41" s="12">
        <f>8228/864000</f>
        <v>0.009523148148148149</v>
      </c>
      <c r="S41" s="12">
        <f>3833/864000</f>
        <v>0.004436342592592592</v>
      </c>
      <c r="T41" s="12">
        <f>4268/864000</f>
        <v>0.004939814814814814</v>
      </c>
      <c r="U41" s="12">
        <f>6005/864000</f>
        <v>0.006950231481481482</v>
      </c>
      <c r="V41" s="12">
        <f>7781/864000</f>
        <v>0.009005787037037038</v>
      </c>
      <c r="W41" s="12">
        <f>4183/864000</f>
        <v>0.004841435185185186</v>
      </c>
      <c r="X41" s="12">
        <f>3694/864000</f>
        <v>0.004275462962962963</v>
      </c>
      <c r="Y41" s="12">
        <f>6245/864000</f>
        <v>0.0072280092592592595</v>
      </c>
    </row>
    <row r="42" spans="1:25" ht="15">
      <c r="A42" s="10">
        <v>40</v>
      </c>
      <c r="B42" s="9" t="s">
        <v>97</v>
      </c>
      <c r="C42" s="9" t="s">
        <v>98</v>
      </c>
      <c r="D42" s="9" t="s">
        <v>60</v>
      </c>
      <c r="E42" s="11" t="s">
        <v>99</v>
      </c>
      <c r="F42" s="12">
        <f>1113/864000</f>
        <v>0.0012881944444444445</v>
      </c>
      <c r="G42" s="12">
        <f>1140/864000</f>
        <v>0.0013194444444444445</v>
      </c>
      <c r="H42" s="12">
        <f>4883/864000</f>
        <v>0.00565162037037037</v>
      </c>
      <c r="I42" s="12">
        <f>12183/864000</f>
        <v>0.014100694444444445</v>
      </c>
      <c r="J42" s="12">
        <f>6464/864000</f>
        <v>0.007481481481481481</v>
      </c>
      <c r="K42" s="12">
        <f>4643/864000</f>
        <v>0.005373842592592592</v>
      </c>
      <c r="L42" s="12">
        <f>4820/864000</f>
        <v>0.005578703703703704</v>
      </c>
      <c r="M42" s="12">
        <f>12075/864000</f>
        <v>0.013975694444444445</v>
      </c>
      <c r="N42" s="12">
        <f>505/864000</f>
        <v>0.0005844907407407408</v>
      </c>
      <c r="O42" s="12">
        <f>503/864000</f>
        <v>0.0005821759259259259</v>
      </c>
      <c r="P42" s="12">
        <f>1118/864000</f>
        <v>0.0012939814814814815</v>
      </c>
      <c r="Q42" s="12">
        <f>1129/864000</f>
        <v>0.0013067129629629629</v>
      </c>
      <c r="R42" s="12">
        <f>8440/864000</f>
        <v>0.009768518518518518</v>
      </c>
      <c r="S42" s="12">
        <f>3946/864000</f>
        <v>0.004567129629629629</v>
      </c>
      <c r="T42" s="12">
        <f>4582/864000</f>
        <v>0.00530324074074074</v>
      </c>
      <c r="U42" s="12">
        <f>6382/864000</f>
        <v>0.007386574074074074</v>
      </c>
      <c r="V42" s="12">
        <f>8374/864000</f>
        <v>0.00969212962962963</v>
      </c>
      <c r="W42" s="12">
        <f>4669/864000</f>
        <v>0.005403935185185185</v>
      </c>
      <c r="X42" s="12">
        <f>4047/864000</f>
        <v>0.004684027777777777</v>
      </c>
      <c r="Y42" s="12">
        <f>6680/864000</f>
        <v>0.0077314814814814815</v>
      </c>
    </row>
    <row r="43" spans="1:25" ht="15">
      <c r="A43" s="10">
        <v>41</v>
      </c>
      <c r="B43" s="9" t="s">
        <v>100</v>
      </c>
      <c r="C43" s="9" t="s">
        <v>100</v>
      </c>
      <c r="D43" s="9" t="s">
        <v>8</v>
      </c>
      <c r="E43" s="11" t="s">
        <v>101</v>
      </c>
      <c r="F43" s="12">
        <f>1119/864000</f>
        <v>0.0012951388888888889</v>
      </c>
      <c r="G43" s="12">
        <f>1113/864000</f>
        <v>0.0012881944444444445</v>
      </c>
      <c r="H43" s="12">
        <f>4730/864000</f>
        <v>0.005474537037037037</v>
      </c>
      <c r="I43" s="12">
        <f>11560/864000</f>
        <v>0.01337962962962963</v>
      </c>
      <c r="J43" s="12">
        <f>6013/864000</f>
        <v>0.006959490740740741</v>
      </c>
      <c r="K43" s="12">
        <f>4450/864000</f>
        <v>0.005150462962962963</v>
      </c>
      <c r="L43" s="12">
        <f>4603/864000</f>
        <v>0.005327546296296296</v>
      </c>
      <c r="M43" s="12">
        <f>11526/864000</f>
        <v>0.013340277777777777</v>
      </c>
      <c r="N43" s="12">
        <f>484/864000</f>
        <v>0.0005601851851851852</v>
      </c>
      <c r="O43" s="12">
        <f>505/864000</f>
        <v>0.0005844907407407408</v>
      </c>
      <c r="P43" s="12">
        <f>1102/864000</f>
        <v>0.001275462962962963</v>
      </c>
      <c r="Q43" s="12">
        <f>1090/864000</f>
        <v>0.001261574074074074</v>
      </c>
      <c r="R43" s="12">
        <f>7886/864000</f>
        <v>0.009127314814814816</v>
      </c>
      <c r="S43" s="12">
        <f>3791/864000</f>
        <v>0.004387731481481481</v>
      </c>
      <c r="T43" s="12">
        <f>4401/864000</f>
        <v>0.00509375</v>
      </c>
      <c r="U43" s="12">
        <f>6027/864000</f>
        <v>0.006975694444444444</v>
      </c>
      <c r="V43" s="12">
        <f>7894/864000</f>
        <v>0.009136574074074075</v>
      </c>
      <c r="W43" s="12">
        <f>4495/864000</f>
        <v>0.005202546296296296</v>
      </c>
      <c r="X43" s="12">
        <f>3789/864000</f>
        <v>0.004385416666666667</v>
      </c>
      <c r="Y43" s="12">
        <f>6238/864000</f>
        <v>0.0072199074074074075</v>
      </c>
    </row>
    <row r="44" spans="1:25" ht="15">
      <c r="A44" s="10">
        <v>42</v>
      </c>
      <c r="B44" s="9" t="s">
        <v>102</v>
      </c>
      <c r="C44" s="9" t="s">
        <v>88</v>
      </c>
      <c r="D44" s="9" t="s">
        <v>5</v>
      </c>
      <c r="E44" s="11" t="s">
        <v>103</v>
      </c>
      <c r="F44" s="12">
        <f>1114/864000</f>
        <v>0.0012893518518518519</v>
      </c>
      <c r="G44" s="12">
        <f>1104/864000</f>
        <v>0.0012777777777777779</v>
      </c>
      <c r="H44" s="12">
        <f>5029/864000</f>
        <v>0.005820601851851852</v>
      </c>
      <c r="I44" s="12">
        <f>12204/864000</f>
        <v>0.014125</v>
      </c>
      <c r="J44" s="12">
        <f>6392/864000</f>
        <v>0.0073981481481481485</v>
      </c>
      <c r="K44" s="12">
        <f>4610/864000</f>
        <v>0.005335648148148148</v>
      </c>
      <c r="L44" s="12">
        <f>4862/864000</f>
        <v>0.005627314814814815</v>
      </c>
      <c r="M44" s="12">
        <f>12086/864000</f>
        <v>0.013988425925925927</v>
      </c>
      <c r="N44" s="12">
        <f>508/864000</f>
        <v>0.000587962962962963</v>
      </c>
      <c r="O44" s="12">
        <f>504/864000</f>
        <v>0.0005833333333333334</v>
      </c>
      <c r="P44" s="12">
        <f>1103/864000</f>
        <v>0.0012766203703703705</v>
      </c>
      <c r="Q44" s="12">
        <f>1089/864000</f>
        <v>0.0012604166666666666</v>
      </c>
      <c r="R44" s="12">
        <f>8729/864000</f>
        <v>0.01010300925925926</v>
      </c>
      <c r="S44" s="12">
        <f>4098/864000</f>
        <v>0.004743055555555556</v>
      </c>
      <c r="T44" s="12">
        <f>4459/864000</f>
        <v>0.00516087962962963</v>
      </c>
      <c r="U44" s="12">
        <f>6356/864000</f>
        <v>0.007356481481481481</v>
      </c>
      <c r="V44" s="12">
        <f>8336/864000</f>
        <v>0.009648148148148149</v>
      </c>
      <c r="W44" s="12">
        <f>4512/864000</f>
        <v>0.005222222222222222</v>
      </c>
      <c r="X44" s="12">
        <f>3963/864000</f>
        <v>0.004586805555555556</v>
      </c>
      <c r="Y44" s="12">
        <f>6729/864000</f>
        <v>0.007788194444444445</v>
      </c>
    </row>
    <row r="45" spans="1:25" ht="15">
      <c r="A45" s="10">
        <v>43</v>
      </c>
      <c r="B45" s="9" t="s">
        <v>104</v>
      </c>
      <c r="C45" s="9" t="s">
        <v>105</v>
      </c>
      <c r="D45" s="9" t="s">
        <v>20</v>
      </c>
      <c r="E45" s="11" t="s">
        <v>106</v>
      </c>
      <c r="F45" s="12">
        <f>1113/864000</f>
        <v>0.0012881944444444445</v>
      </c>
      <c r="G45" s="12">
        <f>1110/864000</f>
        <v>0.0012847222222222223</v>
      </c>
      <c r="H45" s="12">
        <f>4878/864000</f>
        <v>0.005645833333333333</v>
      </c>
      <c r="I45" s="12">
        <f>11550/864000</f>
        <v>0.013368055555555555</v>
      </c>
      <c r="J45" s="12">
        <f>6102/864000</f>
        <v>0.0070625</v>
      </c>
      <c r="K45" s="12">
        <f>4668/864000</f>
        <v>0.005402777777777778</v>
      </c>
      <c r="L45" s="12">
        <f>4747/864000</f>
        <v>0.005494212962962963</v>
      </c>
      <c r="M45" s="12">
        <f>11536/864000</f>
        <v>0.013351851851851853</v>
      </c>
      <c r="N45" s="12">
        <f>491/864000</f>
        <v>0.0005682870370370371</v>
      </c>
      <c r="O45" s="12">
        <f>493/864000</f>
        <v>0.0005706018518518519</v>
      </c>
      <c r="P45" s="12">
        <f>1107/864000</f>
        <v>0.00128125</v>
      </c>
      <c r="Q45" s="12">
        <f>1112/864000</f>
        <v>0.001287037037037037</v>
      </c>
      <c r="R45" s="12">
        <f>8184/864000</f>
        <v>0.009472222222222222</v>
      </c>
      <c r="S45" s="12">
        <f>3969/864000</f>
        <v>0.00459375</v>
      </c>
      <c r="T45" s="12">
        <f>4473/864000</f>
        <v>0.005177083333333333</v>
      </c>
      <c r="U45" s="12">
        <f>6170/864000</f>
        <v>0.007141203703703703</v>
      </c>
      <c r="V45" s="12">
        <f>7977/864000</f>
        <v>0.00923263888888889</v>
      </c>
      <c r="W45" s="12">
        <f>4464/864000</f>
        <v>0.005166666666666667</v>
      </c>
      <c r="X45" s="12">
        <f>3915/864000</f>
        <v>0.00453125</v>
      </c>
      <c r="Y45" s="12">
        <f>6369/864000</f>
        <v>0.007371527777777778</v>
      </c>
    </row>
    <row r="46" spans="1:25" ht="15">
      <c r="A46" s="10">
        <v>44</v>
      </c>
      <c r="B46" s="9" t="s">
        <v>107</v>
      </c>
      <c r="C46" s="9" t="s">
        <v>108</v>
      </c>
      <c r="D46" s="9" t="s">
        <v>20</v>
      </c>
      <c r="E46" s="11" t="s">
        <v>109</v>
      </c>
      <c r="F46" s="12">
        <f>1153/864000</f>
        <v>0.0013344907407407407</v>
      </c>
      <c r="G46" s="12">
        <f>1132/864000</f>
        <v>0.0013101851851851853</v>
      </c>
      <c r="H46" s="12">
        <f>5045/864000</f>
        <v>0.00583912037037037</v>
      </c>
      <c r="I46" s="12">
        <f>12134/864000</f>
        <v>0.014043981481481482</v>
      </c>
      <c r="J46" s="12">
        <f>6525/864000</f>
        <v>0.007552083333333333</v>
      </c>
      <c r="K46" s="12">
        <f>4644/864000</f>
        <v>0.005375</v>
      </c>
      <c r="L46" s="12">
        <f>4942/864000</f>
        <v>0.005719907407407407</v>
      </c>
      <c r="M46" s="12">
        <f>12091/864000</f>
        <v>0.013994212962962964</v>
      </c>
      <c r="N46" s="12">
        <f>502/864000</f>
        <v>0.0005810185185185185</v>
      </c>
      <c r="O46" s="12">
        <f>489/864000</f>
        <v>0.0005659722222222223</v>
      </c>
      <c r="P46" s="12">
        <f>1119/864000</f>
        <v>0.0012951388888888889</v>
      </c>
      <c r="Q46" s="12">
        <f>1104/864000</f>
        <v>0.0012777777777777779</v>
      </c>
      <c r="R46" s="12">
        <f>8498/864000</f>
        <v>0.009835648148148149</v>
      </c>
      <c r="S46" s="12">
        <f>4470/864000</f>
        <v>0.0051736111111111115</v>
      </c>
      <c r="T46" s="12">
        <f>5128/864000</f>
        <v>0.005935185185185185</v>
      </c>
      <c r="U46" s="12">
        <f>6971/864000</f>
        <v>0.008068287037037037</v>
      </c>
      <c r="V46" s="12">
        <f>8893/864000</f>
        <v>0.010292824074074074</v>
      </c>
      <c r="W46" s="12">
        <f>5029/864000</f>
        <v>0.005820601851851852</v>
      </c>
      <c r="X46" s="12">
        <f>4305/864000</f>
        <v>0.004982638888888889</v>
      </c>
      <c r="Y46" s="12">
        <f>7370/864000</f>
        <v>0.008530092592592593</v>
      </c>
    </row>
    <row r="47" spans="1:25" ht="15">
      <c r="A47" s="10">
        <v>45</v>
      </c>
      <c r="B47" s="9" t="s">
        <v>110</v>
      </c>
      <c r="C47" s="9" t="s">
        <v>111</v>
      </c>
      <c r="D47" s="9" t="s">
        <v>112</v>
      </c>
      <c r="E47" s="11" t="s">
        <v>113</v>
      </c>
      <c r="F47" s="12">
        <f>1149/864000</f>
        <v>0.001329861111111111</v>
      </c>
      <c r="G47" s="12">
        <f>1139/864000</f>
        <v>0.001318287037037037</v>
      </c>
      <c r="H47" s="12">
        <f>4877/864000</f>
        <v>0.005644675925925926</v>
      </c>
      <c r="I47" s="12">
        <f>11922/864000</f>
        <v>0.01379861111111111</v>
      </c>
      <c r="J47" s="12">
        <f>6354/864000</f>
        <v>0.007354166666666667</v>
      </c>
      <c r="K47" s="12">
        <f>4707/864000</f>
        <v>0.005447916666666667</v>
      </c>
      <c r="L47" s="12">
        <f>4835/864000</f>
        <v>0.005596064814814815</v>
      </c>
      <c r="M47" s="12">
        <f>11829/864000</f>
        <v>0.013690972222222222</v>
      </c>
      <c r="N47" s="12">
        <f>507/864000</f>
        <v>0.0005868055555555556</v>
      </c>
      <c r="O47" s="12">
        <f>491/864000</f>
        <v>0.0005682870370370371</v>
      </c>
      <c r="P47" s="12">
        <f>1113/864000</f>
        <v>0.0012881944444444445</v>
      </c>
      <c r="Q47" s="12">
        <f>1112/864000</f>
        <v>0.001287037037037037</v>
      </c>
      <c r="R47" s="12">
        <f>8329/864000</f>
        <v>0.009640046296296296</v>
      </c>
      <c r="S47" s="12">
        <f>4231/864000</f>
        <v>0.004896990740740741</v>
      </c>
      <c r="T47" s="12">
        <f>4553/864000</f>
        <v>0.005269675925925926</v>
      </c>
      <c r="U47" s="12">
        <f>6390/864000</f>
        <v>0.007395833333333333</v>
      </c>
      <c r="V47" s="12">
        <f>8227/864000</f>
        <v>0.00952199074074074</v>
      </c>
      <c r="W47" s="12">
        <f>4465/864000</f>
        <v>0.005167824074074074</v>
      </c>
      <c r="X47" s="12">
        <f>3896/864000</f>
        <v>0.004509259259259259</v>
      </c>
      <c r="Y47" s="12"/>
    </row>
    <row r="48" spans="1:25" ht="15">
      <c r="A48" s="10">
        <v>46</v>
      </c>
      <c r="B48" s="9" t="s">
        <v>114</v>
      </c>
      <c r="C48" s="9" t="s">
        <v>114</v>
      </c>
      <c r="D48" s="9" t="s">
        <v>115</v>
      </c>
      <c r="E48" s="11" t="s">
        <v>116</v>
      </c>
      <c r="F48" s="12">
        <f>1168/864000</f>
        <v>0.001351851851851852</v>
      </c>
      <c r="G48" s="12">
        <f>1161/864000</f>
        <v>0.00134375</v>
      </c>
      <c r="H48" s="12">
        <f>5142/864000</f>
        <v>0.005951388888888889</v>
      </c>
      <c r="I48" s="12">
        <f>12237/864000</f>
        <v>0.014163194444444445</v>
      </c>
      <c r="J48" s="12">
        <f>6569/864000</f>
        <v>0.007603009259259259</v>
      </c>
      <c r="K48" s="12">
        <f>4695/864000</f>
        <v>0.005434027777777778</v>
      </c>
      <c r="L48" s="12">
        <f>4836/864000</f>
        <v>0.005597222222222222</v>
      </c>
      <c r="M48" s="12">
        <f>11884/864000</f>
        <v>0.013754629629629629</v>
      </c>
      <c r="N48" s="12">
        <f>521/864000</f>
        <v>0.0006030092592592593</v>
      </c>
      <c r="O48" s="12">
        <f>518/864000</f>
        <v>0.000599537037037037</v>
      </c>
      <c r="P48" s="12">
        <f>1136/864000</f>
        <v>0.0013148148148148149</v>
      </c>
      <c r="Q48" s="12">
        <f>1136/864000</f>
        <v>0.0013148148148148149</v>
      </c>
      <c r="R48" s="12">
        <f>8277/864000</f>
        <v>0.009579861111111112</v>
      </c>
      <c r="S48" s="12">
        <f>4068/864000</f>
        <v>0.0047083333333333335</v>
      </c>
      <c r="T48" s="12">
        <f>4531/864000</f>
        <v>0.005244212962962963</v>
      </c>
      <c r="U48" s="12">
        <f>6364/864000</f>
        <v>0.00736574074074074</v>
      </c>
      <c r="V48" s="12">
        <f>8344/864000</f>
        <v>0.009657407407407408</v>
      </c>
      <c r="W48" s="12">
        <f>4546/864000</f>
        <v>0.005261574074074074</v>
      </c>
      <c r="X48" s="12">
        <f>3929/864000</f>
        <v>0.004547453703703704</v>
      </c>
      <c r="Y48" s="12">
        <f>6687/864000</f>
        <v>0.0077395833333333336</v>
      </c>
    </row>
    <row r="49" spans="1:25" ht="15">
      <c r="A49" s="10">
        <v>47</v>
      </c>
      <c r="B49" s="9" t="s">
        <v>51</v>
      </c>
      <c r="C49" s="9" t="s">
        <v>117</v>
      </c>
      <c r="D49" s="9" t="s">
        <v>5</v>
      </c>
      <c r="E49" s="11" t="s">
        <v>53</v>
      </c>
      <c r="F49" s="12">
        <f>1057/864000</f>
        <v>0.0012233796296296296</v>
      </c>
      <c r="G49" s="12">
        <f>1093/864000</f>
        <v>0.0012650462962962962</v>
      </c>
      <c r="H49" s="12">
        <f>5223/864000</f>
        <v>0.006045138888888889</v>
      </c>
      <c r="I49" s="12">
        <f>12473/864000</f>
        <v>0.014436342592592593</v>
      </c>
      <c r="J49" s="12">
        <f>6657/864000</f>
        <v>0.007704861111111111</v>
      </c>
      <c r="K49" s="12">
        <f>4811/864000</f>
        <v>0.005568287037037037</v>
      </c>
      <c r="L49" s="12">
        <f>5040/864000</f>
        <v>0.005833333333333334</v>
      </c>
      <c r="M49" s="12">
        <f>12005/864000</f>
        <v>0.013894675925925927</v>
      </c>
      <c r="N49" s="12">
        <f>503/864000</f>
        <v>0.0005821759259259259</v>
      </c>
      <c r="O49" s="12">
        <f>5832/864000</f>
        <v>0.00675</v>
      </c>
      <c r="P49" s="12">
        <f>1147/864000</f>
        <v>0.0013275462962962963</v>
      </c>
      <c r="Q49" s="12">
        <f>1154/864000</f>
        <v>0.001335648148148148</v>
      </c>
      <c r="R49" s="12">
        <f>8199/864000</f>
        <v>0.009489583333333333</v>
      </c>
      <c r="S49" s="12">
        <f>3950/864000</f>
        <v>0.004571759259259259</v>
      </c>
      <c r="T49" s="12">
        <f>4398/864000</f>
        <v>0.005090277777777778</v>
      </c>
      <c r="U49" s="12">
        <f>6313/864000</f>
        <v>0.007306712962962963</v>
      </c>
      <c r="V49" s="12">
        <f>8029/864000</f>
        <v>0.009292824074074075</v>
      </c>
      <c r="W49" s="12">
        <f>5975/864000</f>
        <v>0.006915509259259259</v>
      </c>
      <c r="X49" s="12">
        <f>4026/864000</f>
        <v>0.004659722222222222</v>
      </c>
      <c r="Y49" s="12">
        <f>6596/864000</f>
        <v>0.007634259259259259</v>
      </c>
    </row>
    <row r="50" spans="1:25" ht="15">
      <c r="A50" s="10">
        <v>49</v>
      </c>
      <c r="B50" s="9" t="s">
        <v>118</v>
      </c>
      <c r="C50" s="9" t="s">
        <v>119</v>
      </c>
      <c r="D50" s="9" t="s">
        <v>60</v>
      </c>
      <c r="E50" s="11" t="s">
        <v>61</v>
      </c>
      <c r="F50" s="12">
        <f>1151/864000</f>
        <v>0.0013321759259259259</v>
      </c>
      <c r="G50" s="12">
        <f>1127/864000</f>
        <v>0.001304398148148148</v>
      </c>
      <c r="H50" s="12">
        <f>4725/864000</f>
        <v>0.00546875</v>
      </c>
      <c r="I50" s="12">
        <f>11413/864000</f>
        <v>0.01320949074074074</v>
      </c>
      <c r="J50" s="12">
        <f>6230/864000</f>
        <v>0.007210648148148148</v>
      </c>
      <c r="K50" s="12">
        <f>4582/864000</f>
        <v>0.00530324074074074</v>
      </c>
      <c r="L50" s="12">
        <f>4580/864000</f>
        <v>0.005300925925925926</v>
      </c>
      <c r="M50" s="12">
        <f>11249/864000</f>
        <v>0.013019675925925926</v>
      </c>
      <c r="N50" s="12">
        <f>510/864000</f>
        <v>0.0005902777777777778</v>
      </c>
      <c r="O50" s="12">
        <f>510/864000</f>
        <v>0.0005902777777777778</v>
      </c>
      <c r="P50" s="12">
        <f>1090/864000</f>
        <v>0.001261574074074074</v>
      </c>
      <c r="Q50" s="12">
        <f>1075/864000</f>
        <v>0.001244212962962963</v>
      </c>
      <c r="R50" s="12">
        <f>8125/864000</f>
        <v>0.009403935185185185</v>
      </c>
      <c r="S50" s="12">
        <f>3741/864000</f>
        <v>0.004329861111111111</v>
      </c>
      <c r="T50" s="12">
        <f>4326/864000</f>
        <v>0.005006944444444444</v>
      </c>
      <c r="U50" s="12">
        <f>5970/864000</f>
        <v>0.0069097222222222225</v>
      </c>
      <c r="V50" s="13">
        <f>19663/864000</f>
        <v>0.022758101851851852</v>
      </c>
      <c r="W50" s="15">
        <f>4275/864000</f>
        <v>0.0049479166666666664</v>
      </c>
      <c r="X50" s="12">
        <f>3688/864000</f>
        <v>0.004268518518518519</v>
      </c>
      <c r="Y50" s="12">
        <f>6261/864000</f>
        <v>0.007246527777777778</v>
      </c>
    </row>
    <row r="51" spans="1:25" ht="15">
      <c r="A51" s="10">
        <v>50</v>
      </c>
      <c r="B51" s="9" t="s">
        <v>120</v>
      </c>
      <c r="C51" s="9" t="s">
        <v>121</v>
      </c>
      <c r="D51" s="9" t="s">
        <v>5</v>
      </c>
      <c r="E51" s="11" t="s">
        <v>6</v>
      </c>
      <c r="F51" s="12">
        <f>1124/864000</f>
        <v>0.0013009259259259259</v>
      </c>
      <c r="G51" s="12">
        <f>1240/864000</f>
        <v>0.0014351851851851852</v>
      </c>
      <c r="H51" s="12">
        <f>5083/864000</f>
        <v>0.005883101851851852</v>
      </c>
      <c r="I51" s="12">
        <f>11376/864000</f>
        <v>0.013166666666666667</v>
      </c>
      <c r="J51" s="12">
        <f>14829/864000</f>
        <v>0.017163194444444443</v>
      </c>
      <c r="K51" s="12">
        <f>4766/864000</f>
        <v>0.005516203703703704</v>
      </c>
      <c r="L51" s="12">
        <f>4971/864000</f>
        <v>0.005753472222222222</v>
      </c>
      <c r="M51" s="12">
        <f>11754/864000</f>
        <v>0.013604166666666667</v>
      </c>
      <c r="N51" s="12">
        <f>504/864000</f>
        <v>0.0005833333333333334</v>
      </c>
      <c r="O51" s="12">
        <f>484/864000</f>
        <v>0.0005601851851851852</v>
      </c>
      <c r="P51" s="12">
        <f>1164/864000</f>
        <v>0.0013472222222222223</v>
      </c>
      <c r="Q51" s="12">
        <f>1123/864000</f>
        <v>0.0012997685185185185</v>
      </c>
      <c r="R51" s="12">
        <f>7993/864000</f>
        <v>0.009251157407407408</v>
      </c>
      <c r="S51" s="12">
        <f>3811/864000</f>
        <v>0.00441087962962963</v>
      </c>
      <c r="T51" s="12">
        <f>12308/864000</f>
        <v>0.01424537037037037</v>
      </c>
      <c r="U51" s="12">
        <f>6237/864000</f>
        <v>0.00721875</v>
      </c>
      <c r="V51" s="12">
        <f>8129/864000</f>
        <v>0.009408564814814814</v>
      </c>
      <c r="W51" s="12">
        <f>4460/864000</f>
        <v>0.005162037037037037</v>
      </c>
      <c r="X51" s="12">
        <f>3876/864000</f>
        <v>0.004486111111111111</v>
      </c>
      <c r="Y51" s="12">
        <f>6538/864000</f>
        <v>0.007567129629629629</v>
      </c>
    </row>
    <row r="52" spans="1:25" ht="15">
      <c r="A52" s="10">
        <v>51</v>
      </c>
      <c r="B52" s="9" t="s">
        <v>122</v>
      </c>
      <c r="C52" s="9" t="s">
        <v>123</v>
      </c>
      <c r="D52" s="9" t="s">
        <v>124</v>
      </c>
      <c r="E52" s="11" t="s">
        <v>94</v>
      </c>
      <c r="F52" s="12">
        <f>1204/864000</f>
        <v>0.0013935185185185185</v>
      </c>
      <c r="G52" s="12">
        <f>1190/864000</f>
        <v>0.0013773148148148147</v>
      </c>
      <c r="H52" s="12">
        <f>5529/864000</f>
        <v>0.006399305555555556</v>
      </c>
      <c r="I52" s="12">
        <f>13161/864000</f>
        <v>0.01523263888888889</v>
      </c>
      <c r="J52" s="12">
        <f>7205/864000</f>
        <v>0.00833912037037037</v>
      </c>
      <c r="K52" s="12">
        <f>5309/864000</f>
        <v>0.006144675925925926</v>
      </c>
      <c r="L52" s="12">
        <f>5310/864000</f>
        <v>0.006145833333333333</v>
      </c>
      <c r="M52" s="12">
        <f>12855/864000</f>
        <v>0.014878472222222222</v>
      </c>
      <c r="N52" s="12">
        <f>537/864000</f>
        <v>0.0006215277777777778</v>
      </c>
      <c r="O52" s="12">
        <f>524/864000</f>
        <v>0.0006064814814814815</v>
      </c>
      <c r="P52" s="12">
        <f>1161/864000</f>
        <v>0.00134375</v>
      </c>
      <c r="Q52" s="12">
        <f>1132/864000</f>
        <v>0.0013101851851851853</v>
      </c>
      <c r="R52" s="12">
        <f>9193/864000</f>
        <v>0.010640046296296297</v>
      </c>
      <c r="S52" s="12">
        <f>4325/864000</f>
        <v>0.005005787037037037</v>
      </c>
      <c r="T52" s="12">
        <f>4999/864000</f>
        <v>0.0057858796296296295</v>
      </c>
      <c r="U52" s="12">
        <f>6899/864000</f>
        <v>0.007984953703703704</v>
      </c>
      <c r="V52" s="12">
        <f>19363/864000</f>
        <v>0.02241087962962963</v>
      </c>
      <c r="W52" s="12"/>
      <c r="X52" s="12"/>
      <c r="Y52" s="12"/>
    </row>
    <row r="53" spans="1:25" ht="15">
      <c r="A53" s="10">
        <v>52</v>
      </c>
      <c r="B53" s="9" t="s">
        <v>125</v>
      </c>
      <c r="C53" s="9" t="s">
        <v>126</v>
      </c>
      <c r="D53" s="9" t="s">
        <v>112</v>
      </c>
      <c r="E53" s="11" t="s">
        <v>113</v>
      </c>
      <c r="F53" s="12">
        <f>1142/864000</f>
        <v>0.0013217592592592593</v>
      </c>
      <c r="G53" s="12">
        <f>1160/864000</f>
        <v>0.0013425925925925925</v>
      </c>
      <c r="H53" s="12">
        <f>5746/864000</f>
        <v>0.006650462962962963</v>
      </c>
      <c r="I53" s="12">
        <f>13051/864000</f>
        <v>0.015105324074074075</v>
      </c>
      <c r="J53" s="12">
        <f>6947/864000</f>
        <v>0.00804050925925926</v>
      </c>
      <c r="K53" s="12">
        <f>5126/864000</f>
        <v>0.0059328703703703705</v>
      </c>
      <c r="L53" s="12">
        <f>5238/864000</f>
        <v>0.0060625</v>
      </c>
      <c r="M53" s="12">
        <f>12597/864000</f>
        <v>0.014579861111111111</v>
      </c>
      <c r="N53" s="12">
        <f>541/864000</f>
        <v>0.0006261574074074074</v>
      </c>
      <c r="O53" s="12">
        <f>517/864000</f>
        <v>0.0005983796296296296</v>
      </c>
      <c r="P53" s="12">
        <f>1124/864000</f>
        <v>0.0013009259259259259</v>
      </c>
      <c r="Q53" s="12">
        <f>1144/864000</f>
        <v>0.001324074074074074</v>
      </c>
      <c r="R53" s="12">
        <f>9006/864000</f>
        <v>0.010423611111111111</v>
      </c>
      <c r="S53" s="12">
        <f>4209/864000</f>
        <v>0.004871527777777778</v>
      </c>
      <c r="T53" s="12">
        <f>4916/864000</f>
        <v>0.005689814814814815</v>
      </c>
      <c r="U53" s="12">
        <f>6999/864000</f>
        <v>0.008100694444444445</v>
      </c>
      <c r="V53" s="12">
        <f>11641/864000</f>
        <v>0.01347337962962963</v>
      </c>
      <c r="W53" s="12">
        <f>4888/864000</f>
        <v>0.005657407407407407</v>
      </c>
      <c r="X53" s="12">
        <f>4254/864000</f>
        <v>0.004923611111111111</v>
      </c>
      <c r="Y53" s="12">
        <f>7308/864000</f>
        <v>0.008458333333333333</v>
      </c>
    </row>
    <row r="54" spans="1:25" ht="15">
      <c r="A54" s="10">
        <v>54</v>
      </c>
      <c r="B54" s="9" t="s">
        <v>127</v>
      </c>
      <c r="C54" s="9" t="s">
        <v>127</v>
      </c>
      <c r="D54" s="9" t="s">
        <v>128</v>
      </c>
      <c r="E54" s="11" t="s">
        <v>129</v>
      </c>
      <c r="F54" s="12">
        <f>1099/864000</f>
        <v>0.0012719907407407406</v>
      </c>
      <c r="G54" s="12">
        <f>1108/864000</f>
        <v>0.0012824074074074075</v>
      </c>
      <c r="H54" s="12">
        <f>5008/864000</f>
        <v>0.005796296296296296</v>
      </c>
      <c r="I54" s="12">
        <f>11677/864000</f>
        <v>0.013515046296296296</v>
      </c>
      <c r="J54" s="12">
        <f>6718/864000</f>
        <v>0.007775462962962963</v>
      </c>
      <c r="K54" s="12">
        <f>4623/864000</f>
        <v>0.005350694444444444</v>
      </c>
      <c r="L54" s="12">
        <f>4836/864000</f>
        <v>0.005597222222222222</v>
      </c>
      <c r="M54" s="12">
        <f>15574/864000</f>
        <v>0.018025462962962962</v>
      </c>
      <c r="N54" s="12">
        <f>536/864000</f>
        <v>0.0006203703703703704</v>
      </c>
      <c r="O54" s="12">
        <f>539/864000</f>
        <v>0.0006238425925925926</v>
      </c>
      <c r="P54" s="12">
        <f>1095/864000</f>
        <v>0.001267361111111111</v>
      </c>
      <c r="Q54" s="12">
        <f>1066/864000</f>
        <v>0.0012337962962962962</v>
      </c>
      <c r="R54" s="12">
        <f>8209/864000</f>
        <v>0.009501157407407408</v>
      </c>
      <c r="S54" s="12">
        <f>3997/864000</f>
        <v>0.004626157407407408</v>
      </c>
      <c r="T54" s="12">
        <f>4610/864000</f>
        <v>0.005335648148148148</v>
      </c>
      <c r="U54" s="12">
        <f>6522/864000</f>
        <v>0.007548611111111111</v>
      </c>
      <c r="V54" s="12"/>
      <c r="W54" s="12"/>
      <c r="X54" s="12"/>
      <c r="Y54" s="12"/>
    </row>
    <row r="55" spans="1:25" ht="15">
      <c r="A55" s="10">
        <v>55</v>
      </c>
      <c r="B55" s="9" t="s">
        <v>130</v>
      </c>
      <c r="C55" s="9" t="s">
        <v>131</v>
      </c>
      <c r="D55" s="9" t="s">
        <v>69</v>
      </c>
      <c r="E55" s="11">
        <v>1600</v>
      </c>
      <c r="F55" s="12"/>
      <c r="G55" s="12"/>
      <c r="H55" s="12">
        <f>4911/864000</f>
        <v>0.005684027777777777</v>
      </c>
      <c r="I55" s="12">
        <f>11653/864000</f>
        <v>0.013487268518518518</v>
      </c>
      <c r="J55" s="12">
        <f>6269/864000</f>
        <v>0.007255787037037037</v>
      </c>
      <c r="K55" s="12">
        <f>4580/864000</f>
        <v>0.005300925925925926</v>
      </c>
      <c r="L55" s="12">
        <f>4806/864000</f>
        <v>0.0055625</v>
      </c>
      <c r="M55" s="12">
        <f>11954/864000</f>
        <v>0.013835648148148149</v>
      </c>
      <c r="N55" s="12">
        <f>522/864000</f>
        <v>0.0006041666666666667</v>
      </c>
      <c r="O55" s="12">
        <f>505/864000</f>
        <v>0.0005844907407407408</v>
      </c>
      <c r="P55" s="12">
        <f>1100/864000</f>
        <v>0.0012731481481481483</v>
      </c>
      <c r="Q55" s="12">
        <f>1074/864000</f>
        <v>0.0012430555555555556</v>
      </c>
      <c r="R55" s="12"/>
      <c r="S55" s="12"/>
      <c r="T55" s="12"/>
      <c r="U55" s="12"/>
      <c r="V55" s="12"/>
      <c r="W55" s="12"/>
      <c r="X55" s="12"/>
      <c r="Y55" s="12"/>
    </row>
    <row r="56" spans="1:25" ht="15">
      <c r="A56" s="10">
        <v>56</v>
      </c>
      <c r="B56" s="9" t="s">
        <v>132</v>
      </c>
      <c r="C56" s="9" t="s">
        <v>133</v>
      </c>
      <c r="D56" s="9" t="s">
        <v>134</v>
      </c>
      <c r="E56" s="11">
        <v>323</v>
      </c>
      <c r="F56" s="12"/>
      <c r="G56" s="12"/>
      <c r="H56" s="12">
        <f>4578/864000</f>
        <v>0.005298611111111111</v>
      </c>
      <c r="I56" s="12">
        <f>15064/864000</f>
        <v>0.017435185185185186</v>
      </c>
      <c r="J56" s="12">
        <f>6008/864000</f>
        <v>0.006953703703703704</v>
      </c>
      <c r="K56" s="12">
        <f>4355/864000</f>
        <v>0.005040509259259259</v>
      </c>
      <c r="L56" s="12">
        <f>4602/864000</f>
        <v>0.005326388888888889</v>
      </c>
      <c r="M56" s="12">
        <f>11150/864000</f>
        <v>0.012905092592592593</v>
      </c>
      <c r="N56" s="12">
        <f>502/864000</f>
        <v>0.0005810185185185185</v>
      </c>
      <c r="O56" s="12">
        <f>489/864000</f>
        <v>0.0005659722222222223</v>
      </c>
      <c r="P56" s="12">
        <f>1117/864000</f>
        <v>0.001292824074074074</v>
      </c>
      <c r="Q56" s="12">
        <f>1127/864000</f>
        <v>0.001304398148148148</v>
      </c>
      <c r="R56" s="12"/>
      <c r="S56" s="12"/>
      <c r="T56" s="12"/>
      <c r="U56" s="12"/>
      <c r="V56" s="12"/>
      <c r="W56" s="12"/>
      <c r="X56" s="12"/>
      <c r="Y56" s="12"/>
    </row>
    <row r="57" spans="1:25" ht="15">
      <c r="A57" s="10">
        <v>57</v>
      </c>
      <c r="B57" s="9" t="s">
        <v>135</v>
      </c>
      <c r="C57" s="9" t="s">
        <v>136</v>
      </c>
      <c r="D57" s="9" t="s">
        <v>69</v>
      </c>
      <c r="E57" s="11">
        <v>1600</v>
      </c>
      <c r="F57" s="12"/>
      <c r="G57" s="12"/>
      <c r="H57" s="12">
        <f>4842/864000</f>
        <v>0.005604166666666667</v>
      </c>
      <c r="I57" s="12">
        <f>11965/864000</f>
        <v>0.013848379629629629</v>
      </c>
      <c r="J57" s="12">
        <f>6191/864000</f>
        <v>0.0071655092592592595</v>
      </c>
      <c r="K57" s="12">
        <f>4521/864000</f>
        <v>0.005232638888888889</v>
      </c>
      <c r="L57" s="12">
        <f>4693/864000</f>
        <v>0.005431712962962963</v>
      </c>
      <c r="M57" s="12">
        <f>11605/864000</f>
        <v>0.013431712962962963</v>
      </c>
      <c r="N57" s="12">
        <f>530/864000</f>
        <v>0.0006134259259259259</v>
      </c>
      <c r="O57" s="12">
        <f>499/864000</f>
        <v>0.0005775462962962963</v>
      </c>
      <c r="P57" s="12">
        <f>1131/864000</f>
        <v>0.0013090277777777779</v>
      </c>
      <c r="Q57" s="12">
        <f>1120/864000</f>
        <v>0.0012962962962962963</v>
      </c>
      <c r="R57" s="12"/>
      <c r="S57" s="12"/>
      <c r="T57" s="12"/>
      <c r="U57" s="12"/>
      <c r="V57" s="12"/>
      <c r="W57" s="12"/>
      <c r="X57" s="12"/>
      <c r="Y57" s="12"/>
    </row>
    <row r="58" spans="1:25" ht="15">
      <c r="A58" s="10">
        <v>58</v>
      </c>
      <c r="B58" s="9" t="s">
        <v>126</v>
      </c>
      <c r="C58" s="9" t="s">
        <v>137</v>
      </c>
      <c r="D58" s="9" t="s">
        <v>138</v>
      </c>
      <c r="E58" s="11" t="s">
        <v>139</v>
      </c>
      <c r="F58" s="12"/>
      <c r="G58" s="12"/>
      <c r="H58" s="12">
        <f>5363/864000</f>
        <v>0.006207175925925926</v>
      </c>
      <c r="I58" s="12">
        <f>12612/864000</f>
        <v>0.014597222222222222</v>
      </c>
      <c r="J58" s="12">
        <f>6646/864000</f>
        <v>0.0076921296296296295</v>
      </c>
      <c r="K58" s="12">
        <f>4878/864000</f>
        <v>0.005645833333333333</v>
      </c>
      <c r="L58" s="12">
        <f>5057/864000</f>
        <v>0.005853009259259259</v>
      </c>
      <c r="M58" s="12">
        <f>12446/864000</f>
        <v>0.014405092592592593</v>
      </c>
      <c r="N58" s="12">
        <f>534/864000</f>
        <v>0.0006180555555555555</v>
      </c>
      <c r="O58" s="12">
        <f>520/864000</f>
        <v>0.0006018518518518519</v>
      </c>
      <c r="P58" s="12">
        <f>1187/864000</f>
        <v>0.0013738425925925925</v>
      </c>
      <c r="Q58" s="12">
        <f>1195/864000</f>
        <v>0.001383101851851852</v>
      </c>
      <c r="R58" s="12"/>
      <c r="S58" s="12"/>
      <c r="T58" s="12"/>
      <c r="U58" s="12"/>
      <c r="V58" s="12"/>
      <c r="W58" s="12"/>
      <c r="X58" s="12"/>
      <c r="Y58" s="12"/>
    </row>
    <row r="59" spans="1:25" ht="15">
      <c r="A59" s="10">
        <v>59</v>
      </c>
      <c r="B59" s="9" t="s">
        <v>140</v>
      </c>
      <c r="C59" s="9" t="s">
        <v>141</v>
      </c>
      <c r="D59" s="9" t="s">
        <v>20</v>
      </c>
      <c r="E59" s="11" t="s">
        <v>142</v>
      </c>
      <c r="F59" s="12"/>
      <c r="G59" s="12"/>
      <c r="H59" s="12">
        <f>4940/864000</f>
        <v>0.005717592592592593</v>
      </c>
      <c r="I59" s="12">
        <f>11917/864000</f>
        <v>0.013792824074074074</v>
      </c>
      <c r="J59" s="12">
        <f>6395/864000</f>
        <v>0.00740162037037037</v>
      </c>
      <c r="K59" s="12">
        <f>4711/864000</f>
        <v>0.0054525462962962965</v>
      </c>
      <c r="L59" s="12">
        <f>4851/864000</f>
        <v>0.005614583333333333</v>
      </c>
      <c r="M59" s="12">
        <f>11747/864000</f>
        <v>0.013596064814814814</v>
      </c>
      <c r="N59" s="12">
        <f>516/864000</f>
        <v>0.0005972222222222222</v>
      </c>
      <c r="O59" s="12">
        <f>502/864000</f>
        <v>0.0005810185185185185</v>
      </c>
      <c r="P59" s="12">
        <f>1093/864000</f>
        <v>0.0012650462962962962</v>
      </c>
      <c r="Q59" s="12">
        <f>1092/864000</f>
        <v>0.0012638888888888888</v>
      </c>
      <c r="R59" s="12"/>
      <c r="S59" s="12"/>
      <c r="T59" s="12"/>
      <c r="U59" s="12"/>
      <c r="V59" s="12"/>
      <c r="W59" s="12"/>
      <c r="X59" s="12"/>
      <c r="Y59" s="12"/>
    </row>
    <row r="60" spans="1:25" ht="15">
      <c r="A60" s="10">
        <v>101</v>
      </c>
      <c r="B60" s="9" t="s">
        <v>143</v>
      </c>
      <c r="C60" s="9"/>
      <c r="D60" s="9" t="s">
        <v>144</v>
      </c>
      <c r="E60" s="11">
        <v>250</v>
      </c>
      <c r="F60" s="12"/>
      <c r="G60" s="12"/>
      <c r="H60" s="12">
        <f>5336/864000</f>
        <v>0.006175925925925926</v>
      </c>
      <c r="I60" s="12">
        <f>12229/864000</f>
        <v>0.014153935185185184</v>
      </c>
      <c r="J60" s="12">
        <f>6825/864000</f>
        <v>0.007899305555555555</v>
      </c>
      <c r="K60" s="12">
        <f>4829/864000</f>
        <v>0.00558912037037037</v>
      </c>
      <c r="L60" s="12">
        <f>5086/864000</f>
        <v>0.0058865740740740745</v>
      </c>
      <c r="M60" s="12">
        <f>12085/864000</f>
        <v>0.013987268518518519</v>
      </c>
      <c r="N60" s="12">
        <f>538/864000</f>
        <v>0.0006226851851851852</v>
      </c>
      <c r="O60" s="12">
        <f>505/864000</f>
        <v>0.0005844907407407408</v>
      </c>
      <c r="P60" s="12"/>
      <c r="Q60" s="12"/>
      <c r="R60" s="12">
        <f>8978/864000</f>
        <v>0.010391203703703703</v>
      </c>
      <c r="S60" s="12">
        <f>4141/864000</f>
        <v>0.004792824074074074</v>
      </c>
      <c r="T60" s="12">
        <f>4652/864000</f>
        <v>0.00538425925925926</v>
      </c>
      <c r="U60" s="12">
        <f>6539/864000</f>
        <v>0.007568287037037037</v>
      </c>
      <c r="V60" s="12">
        <f>6444/864000</f>
        <v>0.007458333333333333</v>
      </c>
      <c r="W60" s="12">
        <f>4564/864000</f>
        <v>0.0052824074074074075</v>
      </c>
      <c r="X60" s="12">
        <f>4069/864000</f>
        <v>0.004709490740740741</v>
      </c>
      <c r="Y60" s="12">
        <f>7218/864000</f>
        <v>0.008354166666666666</v>
      </c>
    </row>
    <row r="61" spans="1:25" ht="15">
      <c r="A61" s="10">
        <v>102</v>
      </c>
      <c r="B61" s="9" t="s">
        <v>145</v>
      </c>
      <c r="C61" s="9"/>
      <c r="D61" s="9" t="s">
        <v>146</v>
      </c>
      <c r="E61" s="11">
        <v>510</v>
      </c>
      <c r="F61" s="12"/>
      <c r="G61" s="12"/>
      <c r="H61" s="12">
        <f>5241/864000</f>
        <v>0.006065972222222223</v>
      </c>
      <c r="I61" s="12">
        <f>11922/864000</f>
        <v>0.01379861111111111</v>
      </c>
      <c r="J61" s="12">
        <f>6803/864000</f>
        <v>0.007873842592592592</v>
      </c>
      <c r="K61" s="12">
        <f>4645/864000</f>
        <v>0.005376157407407408</v>
      </c>
      <c r="L61" s="12">
        <f>4964/864000</f>
        <v>0.00574537037037037</v>
      </c>
      <c r="M61" s="12">
        <f>11637/864000</f>
        <v>0.01346875</v>
      </c>
      <c r="N61" s="12">
        <f>531/864000</f>
        <v>0.0006145833333333333</v>
      </c>
      <c r="O61" s="12">
        <f>500/864000</f>
        <v>0.0005787037037037037</v>
      </c>
      <c r="P61" s="12"/>
      <c r="Q61" s="12"/>
      <c r="R61" s="12">
        <f>8702/864000</f>
        <v>0.01007175925925926</v>
      </c>
      <c r="S61" s="12">
        <f>3977/864000</f>
        <v>0.004603009259259259</v>
      </c>
      <c r="T61" s="12">
        <f>4618/864000</f>
        <v>0.005344907407407408</v>
      </c>
      <c r="U61" s="12">
        <f>6592/864000</f>
        <v>0.0076296296296296294</v>
      </c>
      <c r="V61" s="12">
        <f>6542/864000</f>
        <v>0.007571759259259259</v>
      </c>
      <c r="W61" s="12">
        <f>4543/864000</f>
        <v>0.0052581018518518515</v>
      </c>
      <c r="X61" s="12">
        <f>4001/864000</f>
        <v>0.004630787037037037</v>
      </c>
      <c r="Y61" s="12">
        <f>6812/864000</f>
        <v>0.00788425925925926</v>
      </c>
    </row>
    <row r="62" spans="1:25" ht="15">
      <c r="A62" s="10">
        <v>103</v>
      </c>
      <c r="B62" s="9" t="s">
        <v>147</v>
      </c>
      <c r="C62" s="9"/>
      <c r="D62" s="9" t="s">
        <v>146</v>
      </c>
      <c r="E62" s="11">
        <v>510</v>
      </c>
      <c r="F62" s="12"/>
      <c r="G62" s="12"/>
      <c r="H62" s="12">
        <f>5178/864000</f>
        <v>0.005993055555555555</v>
      </c>
      <c r="I62" s="12">
        <f>12181/864000</f>
        <v>0.014098379629629629</v>
      </c>
      <c r="J62" s="12">
        <f>6509/864000</f>
        <v>0.007533564814814815</v>
      </c>
      <c r="K62" s="12">
        <f>4587/864000</f>
        <v>0.005309027777777778</v>
      </c>
      <c r="L62" s="12">
        <f>4877/864000</f>
        <v>0.005644675925925926</v>
      </c>
      <c r="M62" s="12">
        <f>11650/864000</f>
        <v>0.013483796296296296</v>
      </c>
      <c r="N62" s="12">
        <f>526/864000</f>
        <v>0.0006087962962962963</v>
      </c>
      <c r="O62" s="12">
        <f>504/864000</f>
        <v>0.0005833333333333334</v>
      </c>
      <c r="P62" s="12"/>
      <c r="Q62" s="12"/>
      <c r="R62" s="12">
        <f>8634/864000</f>
        <v>0.009993055555555555</v>
      </c>
      <c r="S62" s="12">
        <f>4065/864000</f>
        <v>0.004704861111111111</v>
      </c>
      <c r="T62" s="12">
        <f>4478/864000</f>
        <v>0.005182870370370371</v>
      </c>
      <c r="U62" s="12">
        <f>6629/864000</f>
        <v>0.007672453703703704</v>
      </c>
      <c r="V62" s="12">
        <f>6415/864000</f>
        <v>0.007424768518518519</v>
      </c>
      <c r="W62" s="12">
        <f>4450/864000</f>
        <v>0.005150462962962963</v>
      </c>
      <c r="X62" s="12">
        <f>3954/864000</f>
        <v>0.0045763888888888885</v>
      </c>
      <c r="Y62" s="12">
        <f>6762/864000</f>
        <v>0.00782638888888889</v>
      </c>
    </row>
    <row r="63" spans="1:25" ht="15">
      <c r="A63" s="10">
        <v>104</v>
      </c>
      <c r="B63" s="9" t="s">
        <v>148</v>
      </c>
      <c r="C63" s="9"/>
      <c r="D63" s="9" t="s">
        <v>144</v>
      </c>
      <c r="E63" s="11">
        <v>450</v>
      </c>
      <c r="F63" s="12"/>
      <c r="G63" s="12"/>
      <c r="H63" s="12">
        <f>5136/864000</f>
        <v>0.005944444444444444</v>
      </c>
      <c r="I63" s="12">
        <f>11995/864000</f>
        <v>0.013883101851851851</v>
      </c>
      <c r="J63" s="12">
        <f>6695/864000</f>
        <v>0.007748842592592593</v>
      </c>
      <c r="K63" s="12">
        <f>4743/864000</f>
        <v>0.005489583333333333</v>
      </c>
      <c r="L63" s="12">
        <f>5125/864000</f>
        <v>0.005931712962962963</v>
      </c>
      <c r="M63" s="12">
        <f>11915/864000</f>
        <v>0.01379050925925926</v>
      </c>
      <c r="N63" s="12">
        <f>530/864000</f>
        <v>0.0006134259259259259</v>
      </c>
      <c r="O63" s="12">
        <f>531/864000</f>
        <v>0.0006145833333333333</v>
      </c>
      <c r="P63" s="12"/>
      <c r="Q63" s="12"/>
      <c r="R63" s="12">
        <f>8469/864000</f>
        <v>0.009802083333333333</v>
      </c>
      <c r="S63" s="12">
        <f>4085/864000</f>
        <v>0.004728009259259259</v>
      </c>
      <c r="T63" s="12">
        <f>4590/864000</f>
        <v>0.0053125</v>
      </c>
      <c r="U63" s="12">
        <f>6436/864000</f>
        <v>0.007449074074074074</v>
      </c>
      <c r="V63" s="12">
        <f>6435/864000</f>
        <v>0.007447916666666667</v>
      </c>
      <c r="W63" s="12">
        <f>4534/864000</f>
        <v>0.005247685185185185</v>
      </c>
      <c r="X63" s="12">
        <f>4142/864000</f>
        <v>0.0047939814814814815</v>
      </c>
      <c r="Y63" s="12">
        <f>6916/864000</f>
        <v>0.008004629629629629</v>
      </c>
    </row>
    <row r="64" spans="1:25" ht="15">
      <c r="A64" s="10">
        <v>105</v>
      </c>
      <c r="B64" s="9" t="s">
        <v>149</v>
      </c>
      <c r="C64" s="9"/>
      <c r="D64" s="9" t="s">
        <v>11</v>
      </c>
      <c r="E64" s="11">
        <v>450</v>
      </c>
      <c r="F64" s="12"/>
      <c r="G64" s="12"/>
      <c r="H64" s="12">
        <f>5736/864000</f>
        <v>0.006638888888888889</v>
      </c>
      <c r="I64" s="12">
        <f>12820/864000</f>
        <v>0.014837962962962963</v>
      </c>
      <c r="J64" s="12">
        <f>7160/864000</f>
        <v>0.008287037037037037</v>
      </c>
      <c r="K64" s="12">
        <f>4983/864000</f>
        <v>0.005767361111111111</v>
      </c>
      <c r="L64" s="12">
        <f>5372/864000</f>
        <v>0.006217592592592592</v>
      </c>
      <c r="M64" s="12">
        <f>12727/864000</f>
        <v>0.014730324074074075</v>
      </c>
      <c r="N64" s="12">
        <f>552/864000</f>
        <v>0.0006388888888888889</v>
      </c>
      <c r="O64" s="12">
        <f>571/864000</f>
        <v>0.0006608796296296296</v>
      </c>
      <c r="P64" s="12"/>
      <c r="Q64" s="12"/>
      <c r="R64" s="12">
        <f>9297/864000</f>
        <v>0.010760416666666666</v>
      </c>
      <c r="S64" s="12">
        <f>4445/864000</f>
        <v>0.005144675925925926</v>
      </c>
      <c r="T64" s="12">
        <f>5054/864000</f>
        <v>0.005849537037037037</v>
      </c>
      <c r="U64" s="12">
        <f>7243/864000</f>
        <v>0.008383101851851852</v>
      </c>
      <c r="V64" s="12">
        <f>7175/864000</f>
        <v>0.008304398148148148</v>
      </c>
      <c r="W64" s="12">
        <f>5086/864000</f>
        <v>0.0058865740740740745</v>
      </c>
      <c r="X64" s="12">
        <f>4524/864000</f>
        <v>0.0052361111111111115</v>
      </c>
      <c r="Y64" s="12">
        <f>7505/864000</f>
        <v>0.008686342592592593</v>
      </c>
    </row>
    <row r="65" spans="1:25" ht="15">
      <c r="A65" s="10">
        <v>106</v>
      </c>
      <c r="B65" s="9" t="s">
        <v>150</v>
      </c>
      <c r="C65" s="9"/>
      <c r="D65" s="9" t="s">
        <v>146</v>
      </c>
      <c r="E65" s="11">
        <v>510</v>
      </c>
      <c r="F65" s="12"/>
      <c r="G65" s="12"/>
      <c r="H65" s="12">
        <f>5046/864000</f>
        <v>0.005840277777777778</v>
      </c>
      <c r="I65" s="12">
        <f>13055/864000</f>
        <v>0.015109953703703704</v>
      </c>
      <c r="J65" s="12">
        <f>6667/864000</f>
        <v>0.0077164351851851855</v>
      </c>
      <c r="K65" s="12">
        <f>5211/864000</f>
        <v>0.00603125</v>
      </c>
      <c r="L65" s="12">
        <f>5173/864000</f>
        <v>0.0059872685185185185</v>
      </c>
      <c r="M65" s="12">
        <f>12404/864000</f>
        <v>0.014356481481481482</v>
      </c>
      <c r="N65" s="12">
        <f>557/864000</f>
        <v>0.0006446759259259259</v>
      </c>
      <c r="O65" s="12">
        <f>506/864000</f>
        <v>0.0005856481481481482</v>
      </c>
      <c r="P65" s="12"/>
      <c r="Q65" s="12"/>
      <c r="R65" s="12">
        <f>9050/864000</f>
        <v>0.010474537037037037</v>
      </c>
      <c r="S65" s="12">
        <f>4286/864000</f>
        <v>0.004960648148148148</v>
      </c>
      <c r="T65" s="12">
        <f>4849/864000</f>
        <v>0.005612268518518518</v>
      </c>
      <c r="U65" s="12">
        <f>6915/864000</f>
        <v>0.008003472222222223</v>
      </c>
      <c r="V65" s="12">
        <f>6733/864000</f>
        <v>0.007792824074074074</v>
      </c>
      <c r="W65" s="12">
        <f>4850/864000</f>
        <v>0.005613425925925926</v>
      </c>
      <c r="X65" s="12">
        <f>4322/864000</f>
        <v>0.0050023148148148145</v>
      </c>
      <c r="Y65" s="12">
        <f>7061/864000</f>
        <v>0.008172453703703704</v>
      </c>
    </row>
    <row r="66" spans="1:25" ht="15">
      <c r="A66" s="10">
        <v>107</v>
      </c>
      <c r="B66" s="9" t="s">
        <v>151</v>
      </c>
      <c r="C66" s="9"/>
      <c r="D66" s="9" t="s">
        <v>144</v>
      </c>
      <c r="E66" s="11">
        <v>450</v>
      </c>
      <c r="F66" s="12"/>
      <c r="G66" s="12"/>
      <c r="H66" s="12">
        <f>4744/864000</f>
        <v>0.0054907407407407405</v>
      </c>
      <c r="I66" s="12">
        <f>11037/864000</f>
        <v>0.012774305555555556</v>
      </c>
      <c r="J66" s="12">
        <f>6357/864000</f>
        <v>0.007357638888888889</v>
      </c>
      <c r="K66" s="12">
        <f>4381/864000</f>
        <v>0.005070601851851852</v>
      </c>
      <c r="L66" s="12">
        <f>4603/864000</f>
        <v>0.005327546296296296</v>
      </c>
      <c r="M66" s="12">
        <f>10711/864000</f>
        <v>0.012396990740740741</v>
      </c>
      <c r="N66" s="12">
        <f>479/864000</f>
        <v>0.0005543981481481482</v>
      </c>
      <c r="O66" s="12">
        <f>469/864000</f>
        <v>0.000542824074074074</v>
      </c>
      <c r="P66" s="12"/>
      <c r="Q66" s="12"/>
      <c r="R66" s="12">
        <f>8190/864000</f>
        <v>0.009479166666666667</v>
      </c>
      <c r="S66" s="12">
        <f>3905/864000</f>
        <v>0.004519675925925926</v>
      </c>
      <c r="T66" s="12">
        <f>4146/864000</f>
        <v>0.004798611111111111</v>
      </c>
      <c r="U66" s="12">
        <f>6093/864000</f>
        <v>0.007052083333333333</v>
      </c>
      <c r="V66" s="12">
        <f>6064/864000</f>
        <v>0.0070185185185185186</v>
      </c>
      <c r="W66" s="12">
        <f>4192/864000</f>
        <v>0.004851851851851852</v>
      </c>
      <c r="X66" s="12">
        <f>3744/864000</f>
        <v>0.004333333333333333</v>
      </c>
      <c r="Y66" s="12">
        <f>6283/864000</f>
        <v>0.00727199074074074</v>
      </c>
    </row>
    <row r="67" spans="1:25" ht="15">
      <c r="A67" s="10">
        <v>108</v>
      </c>
      <c r="B67" s="9" t="s">
        <v>152</v>
      </c>
      <c r="C67" s="9"/>
      <c r="D67" s="9" t="s">
        <v>153</v>
      </c>
      <c r="E67" s="11">
        <v>570</v>
      </c>
      <c r="F67" s="12"/>
      <c r="G67" s="12"/>
      <c r="H67" s="12">
        <f>4873/864000</f>
        <v>0.005640046296296297</v>
      </c>
      <c r="I67" s="12">
        <f>11539/864000</f>
        <v>0.013355324074074073</v>
      </c>
      <c r="J67" s="12">
        <f>6280/864000</f>
        <v>0.007268518518518519</v>
      </c>
      <c r="K67" s="12">
        <f>4448/864000</f>
        <v>0.005148148148148148</v>
      </c>
      <c r="L67" s="12">
        <f>4727/864000</f>
        <v>0.005471064814814815</v>
      </c>
      <c r="M67" s="12">
        <f>11083/864000</f>
        <v>0.012827546296296297</v>
      </c>
      <c r="N67" s="12">
        <f>507/864000</f>
        <v>0.0005868055555555556</v>
      </c>
      <c r="O67" s="12">
        <f>484/864000</f>
        <v>0.0005601851851851852</v>
      </c>
      <c r="P67" s="12"/>
      <c r="Q67" s="12"/>
      <c r="R67" s="12">
        <f>8180/864000</f>
        <v>0.009467592592592593</v>
      </c>
      <c r="S67" s="12">
        <f>3806/864000</f>
        <v>0.004405092592592592</v>
      </c>
      <c r="T67" s="12">
        <f>4314/864000</f>
        <v>0.004993055555555555</v>
      </c>
      <c r="U67" s="12">
        <f>6149/864000</f>
        <v>0.007116898148148148</v>
      </c>
      <c r="V67" s="12">
        <f>6109/864000</f>
        <v>0.007070601851851852</v>
      </c>
      <c r="W67" s="12">
        <f>4225/864000</f>
        <v>0.004890046296296296</v>
      </c>
      <c r="X67" s="12">
        <f>3775/864000</f>
        <v>0.004369212962962963</v>
      </c>
      <c r="Y67" s="12">
        <f>6380/864000</f>
        <v>0.00738425925925926</v>
      </c>
    </row>
    <row r="68" spans="1:25" ht="15">
      <c r="A68" s="10">
        <v>109</v>
      </c>
      <c r="B68" s="9" t="s">
        <v>154</v>
      </c>
      <c r="C68" s="9"/>
      <c r="D68" s="9" t="s">
        <v>144</v>
      </c>
      <c r="E68" s="11">
        <v>700</v>
      </c>
      <c r="F68" s="12"/>
      <c r="G68" s="12"/>
      <c r="H68" s="12">
        <f>5663/864000</f>
        <v>0.006554398148148148</v>
      </c>
      <c r="I68" s="12">
        <f>12724/864000</f>
        <v>0.014726851851851852</v>
      </c>
      <c r="J68" s="13">
        <f>7460/864000</f>
        <v>0.00863425925925926</v>
      </c>
      <c r="K68" s="12">
        <f>5380/864000</f>
        <v>0.0062268518518518515</v>
      </c>
      <c r="L68" s="12">
        <f>5625/864000</f>
        <v>0.006510416666666667</v>
      </c>
      <c r="M68" s="12">
        <f>12991/864000</f>
        <v>0.01503587962962963</v>
      </c>
      <c r="N68" s="12">
        <f>531/864000</f>
        <v>0.0006145833333333333</v>
      </c>
      <c r="O68" s="12">
        <f>511/864000</f>
        <v>0.0005914351851851852</v>
      </c>
      <c r="P68" s="12"/>
      <c r="Q68" s="12"/>
      <c r="R68" s="12">
        <f>8847/864000</f>
        <v>0.010239583333333333</v>
      </c>
      <c r="S68" s="12">
        <f>4113/864000</f>
        <v>0.004760416666666666</v>
      </c>
      <c r="T68" s="12">
        <f>4784/864000</f>
        <v>0.005537037037037037</v>
      </c>
      <c r="U68" s="12">
        <f>6858/864000</f>
        <v>0.0079375</v>
      </c>
      <c r="V68" s="12">
        <f>6663/864000</f>
        <v>0.007711805555555556</v>
      </c>
      <c r="W68" s="12">
        <f>5519/864000</f>
        <v>0.006387731481481481</v>
      </c>
      <c r="X68" s="12">
        <f>4125/864000</f>
        <v>0.004774305555555556</v>
      </c>
      <c r="Y68" s="12">
        <f>7026/864000</f>
        <v>0.008131944444444445</v>
      </c>
    </row>
    <row r="69" spans="1:25" ht="15">
      <c r="A69" s="10">
        <v>110</v>
      </c>
      <c r="B69" s="9" t="s">
        <v>155</v>
      </c>
      <c r="C69" s="9"/>
      <c r="D69" s="9" t="s">
        <v>153</v>
      </c>
      <c r="E69" s="11">
        <v>570</v>
      </c>
      <c r="F69" s="12"/>
      <c r="G69" s="12"/>
      <c r="H69" s="12">
        <f>4714/864000</f>
        <v>0.005456018518518519</v>
      </c>
      <c r="I69" s="12">
        <f>10986/864000</f>
        <v>0.012715277777777778</v>
      </c>
      <c r="J69" s="12">
        <f>6123/864000</f>
        <v>0.007086805555555555</v>
      </c>
      <c r="K69" s="12">
        <f>4369/864000</f>
        <v>0.005056712962962963</v>
      </c>
      <c r="L69" s="12">
        <f>4714/864000</f>
        <v>0.005456018518518519</v>
      </c>
      <c r="M69" s="12">
        <f>11120/864000</f>
        <v>0.01287037037037037</v>
      </c>
      <c r="N69" s="12">
        <f>483/864000</f>
        <v>0.0005590277777777778</v>
      </c>
      <c r="O69" s="12">
        <f>494/864000</f>
        <v>0.0005717592592592593</v>
      </c>
      <c r="P69" s="12"/>
      <c r="Q69" s="12"/>
      <c r="R69" s="12">
        <f>7966/864000</f>
        <v>0.009219907407407408</v>
      </c>
      <c r="S69" s="12">
        <f>3762/864000</f>
        <v>0.004354166666666667</v>
      </c>
      <c r="T69" s="12">
        <f>4189/864000</f>
        <v>0.00484837962962963</v>
      </c>
      <c r="U69" s="12">
        <f>6113/864000</f>
        <v>0.007075231481481482</v>
      </c>
      <c r="V69" s="12">
        <f>6076/864000</f>
        <v>0.007032407407407407</v>
      </c>
      <c r="W69" s="12">
        <f>4246/864000</f>
        <v>0.004914351851851852</v>
      </c>
      <c r="X69" s="12">
        <f>3757/864000</f>
        <v>0.00434837962962963</v>
      </c>
      <c r="Y69" s="12">
        <f>6331/864000</f>
        <v>0.007327546296296296</v>
      </c>
    </row>
    <row r="70" spans="1:25" ht="15">
      <c r="A70" s="10">
        <v>111</v>
      </c>
      <c r="B70" s="9" t="s">
        <v>156</v>
      </c>
      <c r="C70" s="9"/>
      <c r="D70" s="9" t="s">
        <v>157</v>
      </c>
      <c r="E70" s="11">
        <v>450</v>
      </c>
      <c r="F70" s="12"/>
      <c r="G70" s="12"/>
      <c r="H70" s="12">
        <f>5535/864000</f>
        <v>0.00640625</v>
      </c>
      <c r="I70" s="13">
        <f>21972/864000</f>
        <v>0.025430555555555557</v>
      </c>
      <c r="J70" s="13">
        <f>7460/864000</f>
        <v>0.00863425925925926</v>
      </c>
      <c r="K70" s="12">
        <f>5701/864000</f>
        <v>0.006598379629629629</v>
      </c>
      <c r="L70" s="12">
        <f>5727/864000</f>
        <v>0.006628472222222222</v>
      </c>
      <c r="M70" s="12">
        <f>13180/864000</f>
        <v>0.01525462962962963</v>
      </c>
      <c r="N70" s="12">
        <f>565/864000</f>
        <v>0.0006539351851851851</v>
      </c>
      <c r="O70" s="12">
        <f>544/864000</f>
        <v>0.0006296296296296296</v>
      </c>
      <c r="P70" s="12"/>
      <c r="Q70" s="12"/>
      <c r="R70" s="12">
        <f>9361/864000</f>
        <v>0.01083449074074074</v>
      </c>
      <c r="S70" s="12">
        <f>4337/864000</f>
        <v>0.005019675925925926</v>
      </c>
      <c r="T70" s="12">
        <f>4889/864000</f>
        <v>0.005658564814814815</v>
      </c>
      <c r="U70" s="12">
        <f>6730/864000</f>
        <v>0.007789351851851852</v>
      </c>
      <c r="V70" s="12">
        <f>6521/864000</f>
        <v>0.007547453703703704</v>
      </c>
      <c r="W70" s="12">
        <f>4802/864000</f>
        <v>0.00555787037037037</v>
      </c>
      <c r="X70" s="12">
        <f>4063/864000</f>
        <v>0.004702546296296297</v>
      </c>
      <c r="Y70" s="12">
        <f>8156/864000</f>
        <v>0.009439814814814814</v>
      </c>
    </row>
    <row r="71" spans="1:25" ht="15">
      <c r="A71" s="10">
        <v>112</v>
      </c>
      <c r="B71" s="9" t="s">
        <v>158</v>
      </c>
      <c r="C71" s="9"/>
      <c r="D71" s="9" t="s">
        <v>146</v>
      </c>
      <c r="E71" s="11">
        <v>510</v>
      </c>
      <c r="F71" s="12"/>
      <c r="G71" s="12"/>
      <c r="H71" s="12">
        <f>4867/864000</f>
        <v>0.005633101851851852</v>
      </c>
      <c r="I71" s="12">
        <f>11418/864000</f>
        <v>0.013215277777777777</v>
      </c>
      <c r="J71" s="12">
        <f>6233/864000</f>
        <v>0.007214120370370371</v>
      </c>
      <c r="K71" s="12">
        <f>4579/864000</f>
        <v>0.005299768518518519</v>
      </c>
      <c r="L71" s="12">
        <f>4818/864000</f>
        <v>0.0055763888888888885</v>
      </c>
      <c r="M71" s="12">
        <f>11625/864000</f>
        <v>0.013454861111111112</v>
      </c>
      <c r="N71" s="12">
        <f>509/864000</f>
        <v>0.0005891203703703704</v>
      </c>
      <c r="O71" s="12">
        <f>481/864000</f>
        <v>0.000556712962962963</v>
      </c>
      <c r="P71" s="12"/>
      <c r="Q71" s="12"/>
      <c r="R71" s="12">
        <f>8222/864000</f>
        <v>0.009516203703703704</v>
      </c>
      <c r="S71" s="12">
        <f>3756/864000</f>
        <v>0.004347222222222222</v>
      </c>
      <c r="T71" s="12">
        <f>4402/864000</f>
        <v>0.005094907407407407</v>
      </c>
      <c r="U71" s="12">
        <f>6163/864000</f>
        <v>0.007133101851851852</v>
      </c>
      <c r="V71" s="12">
        <f>6135/864000</f>
        <v>0.007100694444444444</v>
      </c>
      <c r="W71" s="12">
        <f>4382/864000</f>
        <v>0.005071759259259259</v>
      </c>
      <c r="X71" s="12">
        <f>3799/864000</f>
        <v>0.00439699074074074</v>
      </c>
      <c r="Y71" s="12">
        <f>6181/864000</f>
        <v>0.007153935185185185</v>
      </c>
    </row>
    <row r="72" spans="1:25" ht="15">
      <c r="A72" s="10">
        <v>113</v>
      </c>
      <c r="B72" s="9" t="s">
        <v>159</v>
      </c>
      <c r="C72" s="9"/>
      <c r="D72" s="9" t="s">
        <v>160</v>
      </c>
      <c r="E72" s="11">
        <v>450</v>
      </c>
      <c r="F72" s="12"/>
      <c r="G72" s="12"/>
      <c r="H72" s="12">
        <f>4812/864000</f>
        <v>0.005569444444444445</v>
      </c>
      <c r="I72" s="12">
        <f>11918/864000</f>
        <v>0.013793981481481482</v>
      </c>
      <c r="J72" s="12">
        <f>6302/864000</f>
        <v>0.007293981481481481</v>
      </c>
      <c r="K72" s="12">
        <f>4494/864000</f>
        <v>0.005201388888888889</v>
      </c>
      <c r="L72" s="12">
        <f>4819/864000</f>
        <v>0.005577546296296297</v>
      </c>
      <c r="M72" s="12">
        <f>11367/864000</f>
        <v>0.01315625</v>
      </c>
      <c r="N72" s="12">
        <f>490/864000</f>
        <v>0.0005671296296296297</v>
      </c>
      <c r="O72" s="12">
        <f>468/864000</f>
        <v>0.0005416666666666666</v>
      </c>
      <c r="P72" s="12"/>
      <c r="Q72" s="12"/>
      <c r="R72" s="12">
        <f>8376/864000</f>
        <v>0.009694444444444445</v>
      </c>
      <c r="S72" s="12">
        <f>3860/864000</f>
        <v>0.0044675925925925924</v>
      </c>
      <c r="T72" s="12">
        <f>4514/864000</f>
        <v>0.005224537037037037</v>
      </c>
      <c r="U72" s="12">
        <f>6178/864000</f>
        <v>0.007150462962962963</v>
      </c>
      <c r="V72" s="12">
        <f>6128/864000</f>
        <v>0.007092592592592592</v>
      </c>
      <c r="W72" s="12">
        <f>4419/864000</f>
        <v>0.005114583333333333</v>
      </c>
      <c r="X72" s="12">
        <f>3819/864000</f>
        <v>0.004420138888888889</v>
      </c>
      <c r="Y72" s="12">
        <f>6631/864000</f>
        <v>0.007674768518518518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</cp:lastModifiedBy>
  <dcterms:created xsi:type="dcterms:W3CDTF">2010-04-19T10:25:44Z</dcterms:created>
  <dcterms:modified xsi:type="dcterms:W3CDTF">2010-04-19T12:33:52Z</dcterms:modified>
  <cp:category/>
  <cp:version/>
  <cp:contentType/>
  <cp:contentStatus/>
</cp:coreProperties>
</file>