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0" yWindow="195" windowWidth="22935" windowHeight="11475" activeTab="0"/>
  </bookViews>
  <sheets>
    <sheet name="StageTimes_N" sheetId="1" r:id="rId1"/>
  </sheets>
  <definedNames/>
  <calcPr fullCalcOnLoad="1"/>
</workbook>
</file>

<file path=xl/sharedStrings.xml><?xml version="1.0" encoding="utf-8"?>
<sst xmlns="http://schemas.openxmlformats.org/spreadsheetml/2006/main" count="223" uniqueCount="157">
  <si>
    <t>CarNo</t>
  </si>
  <si>
    <t>Driver</t>
  </si>
  <si>
    <t>CoDriver</t>
  </si>
  <si>
    <t>Make</t>
  </si>
  <si>
    <t>Model</t>
  </si>
  <si>
    <t>Bates</t>
  </si>
  <si>
    <t>Taylor</t>
  </si>
  <si>
    <t>Toyota</t>
  </si>
  <si>
    <t>Corolla S2000</t>
  </si>
  <si>
    <t>Evans</t>
  </si>
  <si>
    <t>Murphy</t>
  </si>
  <si>
    <t>Subaru</t>
  </si>
  <si>
    <t>Impreza WRX STI</t>
  </si>
  <si>
    <t>Lowndes</t>
  </si>
  <si>
    <t>Randell</t>
  </si>
  <si>
    <t>Mitsubishi</t>
  </si>
  <si>
    <t>Lancer EVO 9</t>
  </si>
  <si>
    <t>Raymond</t>
  </si>
  <si>
    <t>Corolla Sportivo</t>
  </si>
  <si>
    <t>Herridge</t>
  </si>
  <si>
    <t>Weston</t>
  </si>
  <si>
    <t>Dowel</t>
  </si>
  <si>
    <t>Lee</t>
  </si>
  <si>
    <t>Reeves</t>
  </si>
  <si>
    <t>Smyth</t>
  </si>
  <si>
    <t>Impreza WRX STI Spec C</t>
  </si>
  <si>
    <t>Sullens</t>
  </si>
  <si>
    <t>Barkley</t>
  </si>
  <si>
    <t>Impreza WRX</t>
  </si>
  <si>
    <t>Brooks</t>
  </si>
  <si>
    <t>Jackson</t>
  </si>
  <si>
    <t>Kirk</t>
  </si>
  <si>
    <t>Read White</t>
  </si>
  <si>
    <t>Mazda</t>
  </si>
  <si>
    <t>RX7</t>
  </si>
  <si>
    <t>Russell</t>
  </si>
  <si>
    <t>Nicholls</t>
  </si>
  <si>
    <t>Lancer Evo 1 RS</t>
  </si>
  <si>
    <t>Hogan</t>
  </si>
  <si>
    <t>Grainger</t>
  </si>
  <si>
    <t>Ford</t>
  </si>
  <si>
    <t>Fiesta</t>
  </si>
  <si>
    <t>Walkden</t>
  </si>
  <si>
    <t>Willson</t>
  </si>
  <si>
    <t>Richards</t>
  </si>
  <si>
    <t>Oliver</t>
  </si>
  <si>
    <t>Porsche</t>
  </si>
  <si>
    <t>911 GT2</t>
  </si>
  <si>
    <t>Vandenberg</t>
  </si>
  <si>
    <t>Longhurst</t>
  </si>
  <si>
    <t>Long</t>
  </si>
  <si>
    <t>Gillet</t>
  </si>
  <si>
    <t>Norton</t>
  </si>
  <si>
    <t>Quinn</t>
  </si>
  <si>
    <t>Tillett</t>
  </si>
  <si>
    <t>Nissan</t>
  </si>
  <si>
    <t>GT-R35</t>
  </si>
  <si>
    <t>Bartter</t>
  </si>
  <si>
    <t>Wheeler</t>
  </si>
  <si>
    <t>Alford</t>
  </si>
  <si>
    <t>Handley</t>
  </si>
  <si>
    <t>GTR-35</t>
  </si>
  <si>
    <t>Johnston</t>
  </si>
  <si>
    <t>Stoneman</t>
  </si>
  <si>
    <t>Lancer EVO IX</t>
  </si>
  <si>
    <t>Kennard</t>
  </si>
  <si>
    <t>Grimwood</t>
  </si>
  <si>
    <t>WRX Spec C</t>
  </si>
  <si>
    <t>Smith</t>
  </si>
  <si>
    <t>Logan</t>
  </si>
  <si>
    <t>Lancer EVO 8.5 MR RS</t>
  </si>
  <si>
    <t>Keyte</t>
  </si>
  <si>
    <t>Rattray</t>
  </si>
  <si>
    <t>Impreza WRX STI RA</t>
  </si>
  <si>
    <t>Spada</t>
  </si>
  <si>
    <t>Condon</t>
  </si>
  <si>
    <t>Lancer EVO 6</t>
  </si>
  <si>
    <t>Hurford</t>
  </si>
  <si>
    <t>Kulhanek</t>
  </si>
  <si>
    <t>Kiely</t>
  </si>
  <si>
    <t>Cooper</t>
  </si>
  <si>
    <t>Caratti</t>
  </si>
  <si>
    <t>944 Turbo</t>
  </si>
  <si>
    <t>Van Gerwen</t>
  </si>
  <si>
    <t>Brandsema</t>
  </si>
  <si>
    <t>Celica GT4</t>
  </si>
  <si>
    <t>Brown</t>
  </si>
  <si>
    <t>Locker</t>
  </si>
  <si>
    <t>3 Diesel</t>
  </si>
  <si>
    <t>O'Keefe</t>
  </si>
  <si>
    <t>Winton-Monet</t>
  </si>
  <si>
    <t>Lancer Evo 2</t>
  </si>
  <si>
    <t>Weeks</t>
  </si>
  <si>
    <t>Crunkhorn</t>
  </si>
  <si>
    <t>Paterson</t>
  </si>
  <si>
    <t>Geue</t>
  </si>
  <si>
    <t>911 RS</t>
  </si>
  <si>
    <t>Callinan</t>
  </si>
  <si>
    <t>De Tomaso</t>
  </si>
  <si>
    <t>Pantera</t>
  </si>
  <si>
    <t>Kay</t>
  </si>
  <si>
    <t>Jack</t>
  </si>
  <si>
    <t>Cadden</t>
  </si>
  <si>
    <t>Strik</t>
  </si>
  <si>
    <t>Tierney</t>
  </si>
  <si>
    <t>Carra</t>
  </si>
  <si>
    <t>Carrera RS</t>
  </si>
  <si>
    <t>Van Summeren</t>
  </si>
  <si>
    <t>Hadden</t>
  </si>
  <si>
    <t>RS 1600</t>
  </si>
  <si>
    <t>Bergmann</t>
  </si>
  <si>
    <t>Stean</t>
  </si>
  <si>
    <t>RX3 Coupe</t>
  </si>
  <si>
    <t>Black</t>
  </si>
  <si>
    <t>Wearing</t>
  </si>
  <si>
    <t>911S</t>
  </si>
  <si>
    <t>Crimp</t>
  </si>
  <si>
    <t>van der Mey</t>
  </si>
  <si>
    <t>924 GTS Rallye</t>
  </si>
  <si>
    <t>Steuart</t>
  </si>
  <si>
    <t>Jaguar</t>
  </si>
  <si>
    <t>E-Type</t>
  </si>
  <si>
    <t>Sherriff</t>
  </si>
  <si>
    <t>Holden</t>
  </si>
  <si>
    <t>Torana A9X</t>
  </si>
  <si>
    <t>Harris</t>
  </si>
  <si>
    <t>Suhr</t>
  </si>
  <si>
    <t>Twin Cam Escort</t>
  </si>
  <si>
    <t>Todd</t>
  </si>
  <si>
    <t>Tighe</t>
  </si>
  <si>
    <t>Kelly</t>
  </si>
  <si>
    <t>Falcon XD</t>
  </si>
  <si>
    <t>Roberts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</si>
  <si>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</si>
  <si>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</si>
  <si>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</si>
  <si>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</si>
  <si>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</si>
  <si>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</si>
  <si>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</si>
  <si>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</si>
  <si>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</si>
  <si>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</si>
  <si>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</si>
  <si>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</si>
  <si>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</si>
  <si>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</si>
  <si>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</si>
  <si>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</si>
  <si>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</si>
  <si>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SS18</t>
  </si>
  <si>
    <t>SS19</t>
  </si>
  <si>
    <t>Stage Times - Rally Tasmania 2009</t>
  </si>
  <si>
    <t>SS1 not included in results</t>
  </si>
  <si>
    <t>Allocated Times</t>
  </si>
  <si>
    <t>Missed stages - Slowest + 30 sec</t>
  </si>
  <si>
    <t>SS12 and SS19 cancelled due to road works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</si>
</sst>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7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7" fillId="33" borderId="0" xfId="0" applyFont="1" applyFill="1" applyAlignment="1">
      <alignment/>
    </xf>
    <xf numFmtId="47" fontId="37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0" fontId="37" fillId="35" borderId="0" xfId="0" applyFont="1" applyFill="1" applyAlignment="1">
      <alignment/>
    </xf>
    <xf numFmtId="47" fontId="37" fillId="35" borderId="0" xfId="0" applyNumberFormat="1" applyFont="1" applyFill="1" applyAlignment="1">
      <alignment/>
    </xf>
    <xf numFmtId="0" fontId="37" fillId="0" borderId="0" xfId="0" applyFont="1" applyAlignment="1">
      <alignment horizontal="left"/>
    </xf>
    <xf numFmtId="47" fontId="37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" sqref="H7"/>
    </sheetView>
  </sheetViews>
  <sheetFormatPr defaultColWidth="9.140625" defaultRowHeight="15"/>
  <cols>
    <col min="1" max="1" width="5.8515625" style="1" customWidth="1"/>
    <col min="2" max="2" width="12.57421875" style="2" bestFit="1" customWidth="1"/>
    <col min="3" max="3" width="12.421875" style="2" bestFit="1" customWidth="1"/>
    <col min="4" max="4" width="9.57421875" style="2" bestFit="1" customWidth="1"/>
    <col min="5" max="5" width="20.28125" style="2" customWidth="1"/>
    <col min="6" max="8" width="8.28125" style="2" customWidth="1"/>
    <col min="9" max="9" width="1.28515625" style="2" customWidth="1"/>
    <col min="10" max="17" width="8.28125" style="2" customWidth="1"/>
    <col min="18" max="18" width="1.421875" style="2" customWidth="1"/>
    <col min="19" max="19" width="6.7109375" style="2" customWidth="1"/>
    <col min="20" max="26" width="7.421875" style="2" customWidth="1"/>
    <col min="27" max="16384" width="9.140625" style="2" customWidth="1"/>
  </cols>
  <sheetData>
    <row r="2" spans="2:20" ht="21">
      <c r="B2" s="5" t="s">
        <v>152</v>
      </c>
      <c r="F2" s="9" t="s">
        <v>153</v>
      </c>
      <c r="G2" s="9"/>
      <c r="H2" s="9"/>
      <c r="K2" s="8" t="s">
        <v>154</v>
      </c>
      <c r="L2" s="8"/>
      <c r="N2" s="6" t="s">
        <v>155</v>
      </c>
      <c r="O2" s="6"/>
      <c r="P2" s="6"/>
      <c r="T2" s="2" t="s">
        <v>156</v>
      </c>
    </row>
    <row r="4" spans="1:26" ht="12.7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4" t="s">
        <v>133</v>
      </c>
      <c r="G4" s="4" t="s">
        <v>134</v>
      </c>
      <c r="H4" s="4" t="s">
        <v>135</v>
      </c>
      <c r="J4" s="4" t="s">
        <v>136</v>
      </c>
      <c r="K4" s="4" t="s">
        <v>137</v>
      </c>
      <c r="L4" s="4" t="s">
        <v>138</v>
      </c>
      <c r="M4" s="4" t="s">
        <v>139</v>
      </c>
      <c r="N4" s="4" t="s">
        <v>140</v>
      </c>
      <c r="O4" s="4" t="s">
        <v>141</v>
      </c>
      <c r="P4" s="4" t="s">
        <v>142</v>
      </c>
      <c r="Q4" s="4" t="s">
        <v>143</v>
      </c>
      <c r="S4" s="4" t="s">
        <v>144</v>
      </c>
      <c r="T4" s="4" t="s">
        <v>145</v>
      </c>
      <c r="U4" s="4" t="s">
        <v>146</v>
      </c>
      <c r="V4" s="4" t="s">
        <v>147</v>
      </c>
      <c r="W4" s="4" t="s">
        <v>148</v>
      </c>
      <c r="X4" s="4" t="s">
        <v>149</v>
      </c>
      <c r="Y4" s="4" t="s">
        <v>150</v>
      </c>
      <c r="Z4" s="4" t="s">
        <v>151</v>
      </c>
    </row>
    <row r="5" spans="1:25" ht="12.75">
      <c r="A5" s="1">
        <v>1</v>
      </c>
      <c r="B5" s="2" t="s">
        <v>5</v>
      </c>
      <c r="C5" s="2" t="s">
        <v>6</v>
      </c>
      <c r="D5" s="2" t="s">
        <v>7</v>
      </c>
      <c r="E5" s="2" t="s">
        <v>8</v>
      </c>
      <c r="F5" s="10">
        <f>1363/864000</f>
        <v>0.0015775462962962963</v>
      </c>
      <c r="G5" s="3">
        <f>1419/864000</f>
        <v>0.0016423611111111111</v>
      </c>
      <c r="H5" s="3">
        <f>5751/864000</f>
        <v>0.00665625</v>
      </c>
      <c r="I5" s="3"/>
      <c r="J5" s="3">
        <f>6015/864000</f>
        <v>0.006961805555555555</v>
      </c>
      <c r="K5" s="3">
        <f>7674/864000</f>
        <v>0.008881944444444444</v>
      </c>
      <c r="L5" s="3">
        <f>7941/864000</f>
        <v>0.009190972222222222</v>
      </c>
      <c r="M5" s="3">
        <f>5742/864000</f>
        <v>0.0066458333333333335</v>
      </c>
      <c r="N5" s="3">
        <f>1638/864000</f>
        <v>0.0018958333333333334</v>
      </c>
      <c r="O5" s="3">
        <f>2126/864000</f>
        <v>0.002460648148148148</v>
      </c>
      <c r="P5" s="3">
        <f>1633/864000</f>
        <v>0.0018900462962962964</v>
      </c>
      <c r="Q5" s="3">
        <f>2109/864000</f>
        <v>0.0024409722222222224</v>
      </c>
      <c r="R5" s="3"/>
      <c r="S5" s="3"/>
      <c r="T5" s="3">
        <f>2059/864000</f>
        <v>0.002383101851851852</v>
      </c>
      <c r="U5" s="3">
        <f>4236/864000</f>
        <v>0.004902777777777778</v>
      </c>
      <c r="V5" s="3">
        <f>2227/864000</f>
        <v>0.002577546296296296</v>
      </c>
      <c r="W5" s="3">
        <f>2049/864000</f>
        <v>0.002371527777777778</v>
      </c>
      <c r="X5" s="3">
        <f>4200/864000</f>
        <v>0.004861111111111111</v>
      </c>
      <c r="Y5" s="3">
        <f>2802/864000</f>
        <v>0.0032430555555555554</v>
      </c>
    </row>
    <row r="6" spans="1:25" ht="12.75">
      <c r="A6" s="1">
        <v>2</v>
      </c>
      <c r="B6" s="2" t="s">
        <v>9</v>
      </c>
      <c r="C6" s="2" t="s">
        <v>10</v>
      </c>
      <c r="D6" s="2" t="s">
        <v>11</v>
      </c>
      <c r="E6" s="2" t="s">
        <v>12</v>
      </c>
      <c r="F6" s="10">
        <f>1340/864000</f>
        <v>0.0015509259259259259</v>
      </c>
      <c r="G6" s="3">
        <f>1435/864000</f>
        <v>0.0016608796296296296</v>
      </c>
      <c r="H6" s="3">
        <f>5786/864000</f>
        <v>0.006696759259259259</v>
      </c>
      <c r="I6" s="3"/>
      <c r="J6" s="3">
        <f>6012/864000</f>
        <v>0.006958333333333334</v>
      </c>
      <c r="K6" s="3">
        <f>7788/864000</f>
        <v>0.009013888888888889</v>
      </c>
      <c r="L6" s="3">
        <f>8065/864000</f>
        <v>0.00933449074074074</v>
      </c>
      <c r="M6" s="3">
        <f>5732/864000</f>
        <v>0.006634259259259259</v>
      </c>
      <c r="N6" s="3">
        <f>1650/864000</f>
        <v>0.0019097222222222222</v>
      </c>
      <c r="O6" s="3">
        <f>2139/864000</f>
        <v>0.0024756944444444444</v>
      </c>
      <c r="P6" s="3">
        <f>1653/864000</f>
        <v>0.0019131944444444444</v>
      </c>
      <c r="Q6" s="3">
        <f>2108/864000</f>
        <v>0.002439814814814815</v>
      </c>
      <c r="R6" s="3"/>
      <c r="S6" s="3"/>
      <c r="T6" s="3">
        <f>2088/864000</f>
        <v>0.002416666666666667</v>
      </c>
      <c r="U6" s="3">
        <f>4218/864000</f>
        <v>0.004881944444444445</v>
      </c>
      <c r="V6" s="3">
        <f>2212/864000</f>
        <v>0.0025601851851851853</v>
      </c>
      <c r="W6" s="3">
        <f>2066/864000</f>
        <v>0.0023912037037037035</v>
      </c>
      <c r="X6" s="3">
        <f>4195/864000</f>
        <v>0.004855324074074074</v>
      </c>
      <c r="Y6" s="3">
        <f>2838/864000</f>
        <v>0.0032847222222222223</v>
      </c>
    </row>
    <row r="7" spans="1:25" ht="12.75">
      <c r="A7" s="1">
        <v>3</v>
      </c>
      <c r="B7" s="2" t="s">
        <v>9</v>
      </c>
      <c r="C7" s="2" t="s">
        <v>9</v>
      </c>
      <c r="D7" s="2" t="s">
        <v>7</v>
      </c>
      <c r="E7" s="11" t="s">
        <v>8</v>
      </c>
      <c r="F7" s="10">
        <f>1340/864000</f>
        <v>0.0015509259259259259</v>
      </c>
      <c r="G7" s="3">
        <f>1423/864000</f>
        <v>0.0016469907407407407</v>
      </c>
      <c r="H7" s="3">
        <f>5772/864000</f>
        <v>0.006680555555555556</v>
      </c>
      <c r="I7" s="3"/>
      <c r="J7" s="3">
        <f>6061/864000</f>
        <v>0.007015046296296296</v>
      </c>
      <c r="K7" s="3">
        <f>7621/864000</f>
        <v>0.008820601851851852</v>
      </c>
      <c r="L7" s="3">
        <f>7990/864000</f>
        <v>0.009247685185185185</v>
      </c>
      <c r="M7" s="3">
        <f>5708/864000</f>
        <v>0.006606481481481481</v>
      </c>
      <c r="N7" s="3">
        <f>1672/864000</f>
        <v>0.0019351851851851852</v>
      </c>
      <c r="O7" s="3">
        <f>2166/864000</f>
        <v>0.0025069444444444445</v>
      </c>
      <c r="P7" s="3">
        <f>1644/864000</f>
        <v>0.0019027777777777778</v>
      </c>
      <c r="Q7" s="3">
        <f>2136/864000</f>
        <v>0.002472222222222222</v>
      </c>
      <c r="R7" s="3"/>
      <c r="S7" s="3"/>
      <c r="T7" s="3">
        <f>2073/864000</f>
        <v>0.0023993055555555556</v>
      </c>
      <c r="U7" s="3">
        <f>4239/864000</f>
        <v>0.00490625</v>
      </c>
      <c r="V7" s="3">
        <f>2198/864000</f>
        <v>0.0025439814814814813</v>
      </c>
      <c r="W7" s="3">
        <f>2066/864000</f>
        <v>0.0023912037037037035</v>
      </c>
      <c r="X7" s="3">
        <f>4177/864000</f>
        <v>0.004834490740740741</v>
      </c>
      <c r="Y7" s="3">
        <f>2800/864000</f>
        <v>0.0032407407407407406</v>
      </c>
    </row>
    <row r="8" spans="1:25" ht="12.75">
      <c r="A8" s="1">
        <v>4</v>
      </c>
      <c r="B8" s="2" t="s">
        <v>13</v>
      </c>
      <c r="C8" s="2" t="s">
        <v>14</v>
      </c>
      <c r="D8" s="2" t="s">
        <v>15</v>
      </c>
      <c r="E8" s="11" t="s">
        <v>16</v>
      </c>
      <c r="F8" s="10">
        <f>1365/864000</f>
        <v>0.001579861111111111</v>
      </c>
      <c r="G8" s="3">
        <f>1463/864000</f>
        <v>0.001693287037037037</v>
      </c>
      <c r="H8" s="3">
        <f>5924/864000</f>
        <v>0.006856481481481482</v>
      </c>
      <c r="I8" s="3"/>
      <c r="J8" s="3">
        <f>6196/864000</f>
        <v>0.007171296296296296</v>
      </c>
      <c r="K8" s="3">
        <f>7953/864000</f>
        <v>0.009204861111111112</v>
      </c>
      <c r="L8" s="3">
        <f>9317/864000</f>
        <v>0.010783564814814815</v>
      </c>
      <c r="M8" s="3">
        <f>5880/864000</f>
        <v>0.006805555555555555</v>
      </c>
      <c r="N8" s="3">
        <f>1702/864000</f>
        <v>0.001969907407407407</v>
      </c>
      <c r="O8" s="3">
        <f>2200/864000</f>
        <v>0.0025462962962962965</v>
      </c>
      <c r="P8" s="3">
        <f>1678/864000</f>
        <v>0.0019421296296296296</v>
      </c>
      <c r="Q8" s="3">
        <f>2172/864000</f>
        <v>0.002513888888888889</v>
      </c>
      <c r="R8" s="3"/>
      <c r="S8" s="3"/>
      <c r="T8" s="3">
        <f>2099/864000</f>
        <v>0.002429398148148148</v>
      </c>
      <c r="U8" s="3">
        <f>4303/864000</f>
        <v>0.004980324074074074</v>
      </c>
      <c r="V8" s="3">
        <f>2256/864000</f>
        <v>0.002611111111111111</v>
      </c>
      <c r="W8" s="3">
        <f>2056/864000</f>
        <v>0.0023796296296296295</v>
      </c>
      <c r="X8" s="3">
        <f>4273/864000</f>
        <v>0.004945601851851852</v>
      </c>
      <c r="Y8" s="3">
        <f>2862/864000</f>
        <v>0.0033125</v>
      </c>
    </row>
    <row r="9" spans="1:25" ht="12.75">
      <c r="A9" s="1">
        <v>5</v>
      </c>
      <c r="B9" s="2" t="s">
        <v>17</v>
      </c>
      <c r="C9" s="2" t="s">
        <v>17</v>
      </c>
      <c r="D9" s="2" t="s">
        <v>7</v>
      </c>
      <c r="E9" s="11" t="s">
        <v>18</v>
      </c>
      <c r="F9" s="10">
        <f>1502/864000</f>
        <v>0.001738425925925926</v>
      </c>
      <c r="G9" s="3">
        <f>1471/864000</f>
        <v>0.0017025462962962964</v>
      </c>
      <c r="H9" s="3">
        <f>5900/864000</f>
        <v>0.006828703703703704</v>
      </c>
      <c r="I9" s="3"/>
      <c r="J9" s="3">
        <f>6109/864000</f>
        <v>0.007070601851851852</v>
      </c>
      <c r="K9" s="3">
        <f>7927/864000</f>
        <v>0.009174768518518518</v>
      </c>
      <c r="L9" s="3">
        <f>8318/864000</f>
        <v>0.009627314814814814</v>
      </c>
      <c r="M9" s="3">
        <f>5924/864000</f>
        <v>0.006856481481481482</v>
      </c>
      <c r="N9" s="3">
        <f>1734/864000</f>
        <v>0.0020069444444444444</v>
      </c>
      <c r="O9" s="3">
        <f>2210/864000</f>
        <v>0.0025578703703703705</v>
      </c>
      <c r="P9" s="3">
        <f>1683/864000</f>
        <v>0.0019479166666666666</v>
      </c>
      <c r="Q9" s="3">
        <f>2151/864000</f>
        <v>0.0024895833333333332</v>
      </c>
      <c r="R9" s="3"/>
      <c r="S9" s="3"/>
      <c r="T9" s="3">
        <f>2103/864000</f>
        <v>0.0024340277777777776</v>
      </c>
      <c r="U9" s="3">
        <f>4262/864000</f>
        <v>0.0049328703703703704</v>
      </c>
      <c r="V9" s="3">
        <f>2264/864000</f>
        <v>0.0026203703703703706</v>
      </c>
      <c r="W9" s="3">
        <f>2088/864000</f>
        <v>0.002416666666666667</v>
      </c>
      <c r="X9" s="3">
        <f>4280/864000</f>
        <v>0.004953703703703704</v>
      </c>
      <c r="Y9" s="3">
        <f>2881/864000</f>
        <v>0.0033344907407407407</v>
      </c>
    </row>
    <row r="10" spans="1:25" ht="12.75">
      <c r="A10" s="1">
        <v>6</v>
      </c>
      <c r="B10" s="2" t="s">
        <v>19</v>
      </c>
      <c r="C10" s="2" t="s">
        <v>20</v>
      </c>
      <c r="D10" s="2" t="s">
        <v>11</v>
      </c>
      <c r="E10" s="11" t="s">
        <v>12</v>
      </c>
      <c r="F10" s="10">
        <f>1408/864000</f>
        <v>0.0016296296296296295</v>
      </c>
      <c r="G10" s="3">
        <f>1479/864000</f>
        <v>0.0017118055555555556</v>
      </c>
      <c r="H10" s="3">
        <f>5986/864000</f>
        <v>0.006928240740740741</v>
      </c>
      <c r="I10" s="3"/>
      <c r="J10" s="3">
        <f>6242/864000</f>
        <v>0.007224537037037037</v>
      </c>
      <c r="K10" s="3">
        <f>7974/864000</f>
        <v>0.009229166666666667</v>
      </c>
      <c r="L10" s="3">
        <f>8294/864000</f>
        <v>0.009599537037037037</v>
      </c>
      <c r="M10" s="3">
        <f>5920/864000</f>
        <v>0.006851851851851852</v>
      </c>
      <c r="N10" s="3">
        <f>1720/864000</f>
        <v>0.001990740740740741</v>
      </c>
      <c r="O10" s="3">
        <f>2219/864000</f>
        <v>0.002568287037037037</v>
      </c>
      <c r="P10" s="3">
        <f>1693/864000</f>
        <v>0.001959490740740741</v>
      </c>
      <c r="Q10" s="3">
        <f>2184/864000</f>
        <v>0.0025277777777777777</v>
      </c>
      <c r="R10" s="3"/>
      <c r="S10" s="3"/>
      <c r="T10" s="3">
        <f>2138/864000</f>
        <v>0.0024745370370370372</v>
      </c>
      <c r="U10" s="3">
        <f>4335/864000</f>
        <v>0.005017361111111111</v>
      </c>
      <c r="V10" s="3">
        <f>2285/864000</f>
        <v>0.0026446759259259258</v>
      </c>
      <c r="W10" s="3">
        <f>2119/864000</f>
        <v>0.0024525462962962964</v>
      </c>
      <c r="X10" s="3">
        <f>4277/864000</f>
        <v>0.004950231481481482</v>
      </c>
      <c r="Y10" s="3">
        <f>2959/864000</f>
        <v>0.0034247685185185184</v>
      </c>
    </row>
    <row r="11" spans="1:25" ht="12.75">
      <c r="A11" s="1">
        <v>7</v>
      </c>
      <c r="B11" s="2" t="s">
        <v>21</v>
      </c>
      <c r="C11" s="2" t="s">
        <v>22</v>
      </c>
      <c r="D11" s="2" t="s">
        <v>15</v>
      </c>
      <c r="E11" s="11" t="s">
        <v>16</v>
      </c>
      <c r="F11" s="10">
        <f>1397/864000</f>
        <v>0.0016168981481481481</v>
      </c>
      <c r="G11" s="3">
        <f>1493/864000</f>
        <v>0.0017280092592592592</v>
      </c>
      <c r="H11" s="3">
        <f>5988/864000</f>
        <v>0.006930555555555555</v>
      </c>
      <c r="I11" s="3"/>
      <c r="J11" s="3">
        <f>6726/864000</f>
        <v>0.007784722222222222</v>
      </c>
      <c r="K11" s="12">
        <f>8355/864000</f>
        <v>0.00967013888888889</v>
      </c>
      <c r="L11" s="12">
        <f>9617/864000</f>
        <v>0.011130787037037036</v>
      </c>
      <c r="M11" s="3">
        <f>9640/864000</f>
        <v>0.011157407407407408</v>
      </c>
      <c r="N11" s="12">
        <f>2034/864000</f>
        <v>0.0023541666666666667</v>
      </c>
      <c r="O11" s="12">
        <f>3018/864000</f>
        <v>0.0034930555555555557</v>
      </c>
      <c r="P11" s="12">
        <f>2076/864000</f>
        <v>0.002402777777777778</v>
      </c>
      <c r="Q11" s="12">
        <f>2592/864000</f>
        <v>0.003</v>
      </c>
      <c r="R11" s="3"/>
      <c r="S11" s="3"/>
      <c r="T11" s="3">
        <f>2128/864000</f>
        <v>0.002462962962962963</v>
      </c>
      <c r="U11" s="3">
        <f>4380/864000</f>
        <v>0.005069444444444444</v>
      </c>
      <c r="V11" s="3">
        <f>2298/864000</f>
        <v>0.002659722222222222</v>
      </c>
      <c r="W11" s="3">
        <f>2116/864000</f>
        <v>0.002449074074074074</v>
      </c>
      <c r="X11" s="3">
        <f>4349/864000</f>
        <v>0.0050335648148148145</v>
      </c>
      <c r="Y11" s="3">
        <f>2909/864000</f>
        <v>0.003366898148148148</v>
      </c>
    </row>
    <row r="12" spans="1:25" ht="12.75">
      <c r="A12" s="1">
        <v>8</v>
      </c>
      <c r="B12" s="2" t="s">
        <v>23</v>
      </c>
      <c r="C12" s="2" t="s">
        <v>24</v>
      </c>
      <c r="D12" s="2" t="s">
        <v>11</v>
      </c>
      <c r="E12" s="11" t="s">
        <v>25</v>
      </c>
      <c r="F12" s="10">
        <f>1358/864000</f>
        <v>0.0015717592592592593</v>
      </c>
      <c r="G12" s="3">
        <f>1434/864000</f>
        <v>0.0016597222222222222</v>
      </c>
      <c r="H12" s="3">
        <f>5804/864000</f>
        <v>0.006717592592592593</v>
      </c>
      <c r="I12" s="3"/>
      <c r="J12" s="3">
        <f>6082/864000</f>
        <v>0.007039351851851852</v>
      </c>
      <c r="K12" s="3">
        <f>7839/864000</f>
        <v>0.009072916666666667</v>
      </c>
      <c r="L12" s="3">
        <f>8178/864000</f>
        <v>0.009465277777777777</v>
      </c>
      <c r="M12" s="3">
        <f>5790/864000</f>
        <v>0.006701388888888889</v>
      </c>
      <c r="N12" s="3">
        <f>1678/864000</f>
        <v>0.0019421296296296296</v>
      </c>
      <c r="O12" s="3">
        <f>2718/864000</f>
        <v>0.0031458333333333334</v>
      </c>
      <c r="P12" s="3">
        <f>1672/864000</f>
        <v>0.0019351851851851852</v>
      </c>
      <c r="Q12" s="3">
        <f>2144/864000</f>
        <v>0.0024814814814814816</v>
      </c>
      <c r="R12" s="3"/>
      <c r="S12" s="3"/>
      <c r="T12" s="3">
        <f>2115/864000</f>
        <v>0.002447916666666667</v>
      </c>
      <c r="U12" s="3">
        <f>4313/864000</f>
        <v>0.004991898148148148</v>
      </c>
      <c r="V12" s="3">
        <f>2243/864000</f>
        <v>0.002596064814814815</v>
      </c>
      <c r="W12" s="3">
        <f>2095/864000</f>
        <v>0.0024247685185185184</v>
      </c>
      <c r="X12" s="3">
        <f>4260/864000</f>
        <v>0.004930555555555555</v>
      </c>
      <c r="Y12" s="3">
        <f>2856/864000</f>
        <v>0.0033055555555555555</v>
      </c>
    </row>
    <row r="13" spans="1:25" ht="12.75">
      <c r="A13" s="1">
        <v>10</v>
      </c>
      <c r="B13" s="2" t="s">
        <v>26</v>
      </c>
      <c r="C13" s="2" t="s">
        <v>27</v>
      </c>
      <c r="D13" s="2" t="s">
        <v>11</v>
      </c>
      <c r="E13" s="11" t="s">
        <v>28</v>
      </c>
      <c r="F13" s="10">
        <f>1451/864000</f>
        <v>0.0016793981481481482</v>
      </c>
      <c r="G13" s="3">
        <f>1527/864000</f>
        <v>0.001767361111111111</v>
      </c>
      <c r="H13" s="12">
        <f>7377/864000</f>
        <v>0.008538194444444444</v>
      </c>
      <c r="I13" s="3"/>
      <c r="J13" s="3">
        <f>6302/864000</f>
        <v>0.007293981481481481</v>
      </c>
      <c r="K13" s="3">
        <f>8055/864000</f>
        <v>0.009322916666666667</v>
      </c>
      <c r="L13" s="3">
        <f>8429/864000</f>
        <v>0.009755787037037037</v>
      </c>
      <c r="M13" s="3">
        <f>6006/864000</f>
        <v>0.006951388888888889</v>
      </c>
      <c r="N13" s="3">
        <f>1716/864000</f>
        <v>0.0019861111111111112</v>
      </c>
      <c r="O13" s="3">
        <f>2269/864000</f>
        <v>0.0026261574074074073</v>
      </c>
      <c r="P13" s="3">
        <f>1740/864000</f>
        <v>0.002013888888888889</v>
      </c>
      <c r="Q13" s="3">
        <f>2226/864000</f>
        <v>0.002576388888888889</v>
      </c>
      <c r="R13" s="3"/>
      <c r="S13" s="3"/>
      <c r="T13" s="3">
        <f>2120/864000</f>
        <v>0.0024537037037037036</v>
      </c>
      <c r="U13" s="3">
        <f>4376/864000</f>
        <v>0.0050648148148148145</v>
      </c>
      <c r="V13" s="3">
        <f>2262/864000</f>
        <v>0.0026180555555555558</v>
      </c>
      <c r="W13" s="3">
        <f>2136/864000</f>
        <v>0.002472222222222222</v>
      </c>
      <c r="X13" s="3">
        <f>4403/864000</f>
        <v>0.0050960648148148146</v>
      </c>
      <c r="Y13" s="3">
        <f>2957/864000</f>
        <v>0.0034224537037037036</v>
      </c>
    </row>
    <row r="14" spans="1:25" ht="12.75">
      <c r="A14" s="1">
        <v>12</v>
      </c>
      <c r="B14" s="2" t="s">
        <v>29</v>
      </c>
      <c r="C14" s="2" t="s">
        <v>30</v>
      </c>
      <c r="D14" s="2" t="s">
        <v>11</v>
      </c>
      <c r="E14" s="11" t="s">
        <v>25</v>
      </c>
      <c r="F14" s="10">
        <f>1464/864000</f>
        <v>0.0016944444444444444</v>
      </c>
      <c r="G14" s="3">
        <f>1530/864000</f>
        <v>0.0017708333333333332</v>
      </c>
      <c r="H14" s="3">
        <f>6083/864000</f>
        <v>0.007040509259259259</v>
      </c>
      <c r="I14" s="3"/>
      <c r="J14" s="3">
        <f>6215/864000</f>
        <v>0.007193287037037037</v>
      </c>
      <c r="K14" s="3">
        <f>7978/864000</f>
        <v>0.009233796296296296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1">
        <v>13</v>
      </c>
      <c r="B15" s="2" t="s">
        <v>31</v>
      </c>
      <c r="C15" s="2" t="s">
        <v>32</v>
      </c>
      <c r="D15" s="2" t="s">
        <v>33</v>
      </c>
      <c r="E15" s="11" t="s">
        <v>34</v>
      </c>
      <c r="F15" s="10">
        <f>1782/864000</f>
        <v>0.0020625</v>
      </c>
      <c r="G15" s="12">
        <f>2036/864000</f>
        <v>0.0023564814814814815</v>
      </c>
      <c r="H15" s="12">
        <f>7377/864000</f>
        <v>0.008538194444444444</v>
      </c>
      <c r="I15" s="3"/>
      <c r="J15" s="12">
        <f>7696/864000</f>
        <v>0.008907407407407407</v>
      </c>
      <c r="K15" s="12">
        <f>8355/864000</f>
        <v>0.00967013888888889</v>
      </c>
      <c r="L15" s="12">
        <f>9617/864000</f>
        <v>0.011130787037037036</v>
      </c>
      <c r="M15" s="12">
        <f>9940/864000</f>
        <v>0.01150462962962963</v>
      </c>
      <c r="N15" s="12">
        <f>2034/864000</f>
        <v>0.0023541666666666667</v>
      </c>
      <c r="O15" s="12">
        <f>3018/864000</f>
        <v>0.0034930555555555557</v>
      </c>
      <c r="P15" s="12">
        <f>2076/864000</f>
        <v>0.002402777777777778</v>
      </c>
      <c r="Q15" s="12">
        <f>2592/864000</f>
        <v>0.003</v>
      </c>
      <c r="R15" s="3"/>
      <c r="S15" s="3"/>
      <c r="T15" s="7">
        <f>2691/864000</f>
        <v>0.0031145833333333334</v>
      </c>
      <c r="U15" s="7">
        <f>5447/864000</f>
        <v>0.006304398148148148</v>
      </c>
      <c r="V15" s="3">
        <f>3068/864000</f>
        <v>0.003550925925925926</v>
      </c>
      <c r="W15" s="3">
        <f>2810/864000</f>
        <v>0.0032523148148148147</v>
      </c>
      <c r="X15" s="3">
        <f>5733/864000</f>
        <v>0.006635416666666667</v>
      </c>
      <c r="Y15" s="3">
        <f>3724/864000</f>
        <v>0.004310185185185185</v>
      </c>
    </row>
    <row r="16" spans="1:25" ht="12.75">
      <c r="A16" s="1">
        <v>15</v>
      </c>
      <c r="B16" s="2" t="s">
        <v>35</v>
      </c>
      <c r="C16" s="2" t="s">
        <v>36</v>
      </c>
      <c r="D16" s="2" t="s">
        <v>15</v>
      </c>
      <c r="E16" s="11" t="s">
        <v>37</v>
      </c>
      <c r="F16" s="10">
        <f>1536/864000</f>
        <v>0.0017777777777777779</v>
      </c>
      <c r="G16" s="3">
        <f>1588/864000</f>
        <v>0.001837962962962963</v>
      </c>
      <c r="H16" s="3">
        <f>6556/864000</f>
        <v>0.007587962962962963</v>
      </c>
      <c r="I16" s="3"/>
      <c r="J16" s="12">
        <f>7696/864000</f>
        <v>0.008907407407407407</v>
      </c>
      <c r="K16" s="12">
        <f>8355/864000</f>
        <v>0.00967013888888889</v>
      </c>
      <c r="L16" s="12">
        <f>9617/864000</f>
        <v>0.011130787037037036</v>
      </c>
      <c r="M16" s="12">
        <f>9940/864000</f>
        <v>0.01150462962962963</v>
      </c>
      <c r="N16" s="12">
        <f>2034/864000</f>
        <v>0.0023541666666666667</v>
      </c>
      <c r="O16" s="12">
        <f>3018/864000</f>
        <v>0.0034930555555555557</v>
      </c>
      <c r="P16" s="3">
        <f>1776/864000</f>
        <v>0.0020555555555555557</v>
      </c>
      <c r="Q16" s="3">
        <f>2292/864000</f>
        <v>0.0026527777777777778</v>
      </c>
      <c r="R16" s="3"/>
      <c r="S16" s="3"/>
      <c r="T16" s="3">
        <f>2217/864000</f>
        <v>0.002565972222222222</v>
      </c>
      <c r="U16" s="3">
        <f>4580/864000</f>
        <v>0.005300925925925926</v>
      </c>
      <c r="V16" s="3">
        <f>2376/864000</f>
        <v>0.00275</v>
      </c>
      <c r="W16" s="3">
        <f>2176/864000</f>
        <v>0.0025185185185185185</v>
      </c>
      <c r="X16" s="3">
        <f>4628/864000</f>
        <v>0.005356481481481481</v>
      </c>
      <c r="Y16" s="3">
        <f>3048/864000</f>
        <v>0.0035277777777777777</v>
      </c>
    </row>
    <row r="17" spans="1:25" ht="12.75">
      <c r="A17" s="1">
        <v>17</v>
      </c>
      <c r="B17" s="2" t="s">
        <v>38</v>
      </c>
      <c r="C17" s="2" t="s">
        <v>39</v>
      </c>
      <c r="D17" s="2" t="s">
        <v>40</v>
      </c>
      <c r="E17" s="11" t="s">
        <v>41</v>
      </c>
      <c r="F17" s="10">
        <f>1660/864000</f>
        <v>0.0019212962962962964</v>
      </c>
      <c r="G17" s="3">
        <f>1736/864000</f>
        <v>0.0020092592592592592</v>
      </c>
      <c r="H17" s="3">
        <f>7077/864000</f>
        <v>0.008190972222222223</v>
      </c>
      <c r="I17" s="3"/>
      <c r="J17" s="3">
        <f>7396/864000</f>
        <v>0.008560185185185185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>
      <c r="A18" s="1">
        <v>50</v>
      </c>
      <c r="B18" s="2" t="s">
        <v>42</v>
      </c>
      <c r="C18" s="2" t="s">
        <v>43</v>
      </c>
      <c r="D18" s="2" t="s">
        <v>11</v>
      </c>
      <c r="E18" s="11" t="s">
        <v>25</v>
      </c>
      <c r="F18" s="10">
        <f>1503/864000</f>
        <v>0.0017395833333333334</v>
      </c>
      <c r="G18" s="3">
        <f>1540/864000</f>
        <v>0.0017824074074074075</v>
      </c>
      <c r="H18" s="3">
        <f>6463/864000</f>
        <v>0.007480324074074074</v>
      </c>
      <c r="I18" s="3"/>
      <c r="J18" s="3">
        <f>6673/864000</f>
        <v>0.0077233796296296295</v>
      </c>
      <c r="K18" s="3">
        <f>8444/864000</f>
        <v>0.009773148148148149</v>
      </c>
      <c r="L18" s="3">
        <f>8688/864000</f>
        <v>0.010055555555555555</v>
      </c>
      <c r="M18" s="3">
        <f>6241/864000</f>
        <v>0.00722337962962963</v>
      </c>
      <c r="N18" s="3">
        <f>1724/864000</f>
        <v>0.0019953703703703704</v>
      </c>
      <c r="O18" s="3">
        <f>2316/864000</f>
        <v>0.0026805555555555554</v>
      </c>
      <c r="P18" s="3">
        <f>1725/864000</f>
        <v>0.0019965277777777776</v>
      </c>
      <c r="Q18" s="3">
        <f>2321/864000</f>
        <v>0.0026863425925925926</v>
      </c>
      <c r="R18" s="3"/>
      <c r="S18" s="3"/>
      <c r="T18" s="3">
        <f>2215/864000</f>
        <v>0.0025636574074074073</v>
      </c>
      <c r="U18" s="3">
        <f>4567/864000</f>
        <v>0.00528587962962963</v>
      </c>
      <c r="V18" s="3">
        <f>2394/864000</f>
        <v>0.0027708333333333335</v>
      </c>
      <c r="W18" s="3">
        <f>2209/864000</f>
        <v>0.002556712962962963</v>
      </c>
      <c r="X18" s="3">
        <f>4542/864000</f>
        <v>0.005256944444444444</v>
      </c>
      <c r="Y18" s="3">
        <f>3016/864000</f>
        <v>0.003490740740740741</v>
      </c>
    </row>
    <row r="19" spans="1:25" ht="12.75">
      <c r="A19" s="1">
        <v>51</v>
      </c>
      <c r="B19" s="2" t="s">
        <v>44</v>
      </c>
      <c r="C19" s="2" t="s">
        <v>45</v>
      </c>
      <c r="D19" s="2" t="s">
        <v>46</v>
      </c>
      <c r="E19" s="11" t="s">
        <v>47</v>
      </c>
      <c r="F19" s="10">
        <f>1354/864000</f>
        <v>0.0015671296296296297</v>
      </c>
      <c r="G19" s="3">
        <f>1396/864000</f>
        <v>0.0016157407407407407</v>
      </c>
      <c r="H19" s="3">
        <f>5777/864000</f>
        <v>0.006686342592592593</v>
      </c>
      <c r="I19" s="3"/>
      <c r="J19" s="3">
        <f>5945/864000</f>
        <v>0.006880787037037037</v>
      </c>
      <c r="K19" s="3">
        <f>7717/864000</f>
        <v>0.008931712962962962</v>
      </c>
      <c r="L19" s="3">
        <f>8110/864000</f>
        <v>0.009386574074074073</v>
      </c>
      <c r="M19" s="3">
        <f>5681/864000</f>
        <v>0.006575231481481481</v>
      </c>
      <c r="N19" s="3">
        <f>1585/864000</f>
        <v>0.0018344907407407407</v>
      </c>
      <c r="O19" s="3">
        <f>2129/864000</f>
        <v>0.0024641203703703704</v>
      </c>
      <c r="P19" s="3">
        <f>1562/864000</f>
        <v>0.0018078703703703703</v>
      </c>
      <c r="Q19" s="3">
        <f>2122/864000</f>
        <v>0.0024560185185185184</v>
      </c>
      <c r="R19" s="3"/>
      <c r="S19" s="3"/>
      <c r="T19" s="3">
        <f>1987/864000</f>
        <v>0.0022997685185185187</v>
      </c>
      <c r="U19" s="3">
        <f>4261/864000</f>
        <v>0.004931712962962963</v>
      </c>
      <c r="V19" s="3">
        <f>2225/864000</f>
        <v>0.0025752314814814813</v>
      </c>
      <c r="W19" s="3">
        <f>1970/864000</f>
        <v>0.0022800925925925927</v>
      </c>
      <c r="X19" s="3">
        <f>4198/864000</f>
        <v>0.004858796296296296</v>
      </c>
      <c r="Y19" s="3">
        <f>2783/864000</f>
        <v>0.0032210648148148146</v>
      </c>
    </row>
    <row r="20" spans="1:25" ht="12.75">
      <c r="A20" s="1">
        <v>52</v>
      </c>
      <c r="B20" s="2" t="s">
        <v>48</v>
      </c>
      <c r="C20" s="2" t="s">
        <v>48</v>
      </c>
      <c r="D20" s="2" t="s">
        <v>15</v>
      </c>
      <c r="E20" s="11" t="s">
        <v>16</v>
      </c>
      <c r="F20" s="10">
        <f>1460/864000</f>
        <v>0.0016898148148148148</v>
      </c>
      <c r="G20" s="3">
        <f>1423/864000</f>
        <v>0.0016469907407407407</v>
      </c>
      <c r="H20" s="3">
        <f>5841/864000</f>
        <v>0.006760416666666666</v>
      </c>
      <c r="I20" s="3"/>
      <c r="J20" s="3">
        <f>6022/864000</f>
        <v>0.006969907407407407</v>
      </c>
      <c r="K20" s="3">
        <f>7826/864000</f>
        <v>0.00905787037037037</v>
      </c>
      <c r="L20" s="3">
        <f>8075/864000</f>
        <v>0.009346064814814814</v>
      </c>
      <c r="M20" s="3">
        <f>5758/864000</f>
        <v>0.006664351851851852</v>
      </c>
      <c r="N20" s="3">
        <f>1643/864000</f>
        <v>0.0019016203703703704</v>
      </c>
      <c r="O20" s="3">
        <f>2169/864000</f>
        <v>0.002510416666666667</v>
      </c>
      <c r="P20" s="3">
        <f>1651/864000</f>
        <v>0.0019108796296296296</v>
      </c>
      <c r="Q20" s="3">
        <f>2162/864000</f>
        <v>0.002502314814814815</v>
      </c>
      <c r="R20" s="3"/>
      <c r="S20" s="3"/>
      <c r="T20" s="3">
        <f>2050/864000</f>
        <v>0.002372685185185185</v>
      </c>
      <c r="U20" s="3">
        <f>4355/864000</f>
        <v>0.005040509259259259</v>
      </c>
      <c r="V20" s="3">
        <f>2287/864000</f>
        <v>0.0026469907407407406</v>
      </c>
      <c r="W20" s="3">
        <f>2053/864000</f>
        <v>0.0023761574074074076</v>
      </c>
      <c r="X20" s="3">
        <f>4381/864000</f>
        <v>0.005070601851851852</v>
      </c>
      <c r="Y20" s="3">
        <f>2870/864000</f>
        <v>0.003321759259259259</v>
      </c>
    </row>
    <row r="21" spans="1:25" ht="12.75">
      <c r="A21" s="1">
        <v>53</v>
      </c>
      <c r="B21" s="2" t="s">
        <v>49</v>
      </c>
      <c r="C21" s="2" t="s">
        <v>50</v>
      </c>
      <c r="D21" s="2" t="s">
        <v>11</v>
      </c>
      <c r="E21" s="11" t="s">
        <v>12</v>
      </c>
      <c r="F21" s="10">
        <f>1424/864000</f>
        <v>0.0016481481481481482</v>
      </c>
      <c r="G21" s="3">
        <f>1424/864000</f>
        <v>0.0016481481481481482</v>
      </c>
      <c r="H21" s="3">
        <f>5796/864000</f>
        <v>0.0067083333333333335</v>
      </c>
      <c r="I21" s="3"/>
      <c r="J21" s="3">
        <f>6032/864000</f>
        <v>0.006981481481481482</v>
      </c>
      <c r="K21" s="3">
        <f>7821/864000</f>
        <v>0.009052083333333334</v>
      </c>
      <c r="L21" s="3">
        <f>8134/864000</f>
        <v>0.009414351851851853</v>
      </c>
      <c r="M21" s="3">
        <f>5768/864000</f>
        <v>0.006675925925925926</v>
      </c>
      <c r="N21" s="3">
        <f>1666/864000</f>
        <v>0.0019282407407407408</v>
      </c>
      <c r="O21" s="3">
        <f>2205/864000</f>
        <v>0.0025520833333333333</v>
      </c>
      <c r="P21" s="3">
        <f>1666/864000</f>
        <v>0.0019282407407407408</v>
      </c>
      <c r="Q21" s="3">
        <f>2177/864000</f>
        <v>0.002519675925925926</v>
      </c>
      <c r="R21" s="3"/>
      <c r="S21" s="3"/>
      <c r="T21" s="3">
        <f>2064/864000</f>
        <v>0.0023888888888888887</v>
      </c>
      <c r="U21" s="3">
        <f>4485/864000</f>
        <v>0.005190972222222222</v>
      </c>
      <c r="V21" s="3">
        <f>2292/864000</f>
        <v>0.0026527777777777778</v>
      </c>
      <c r="W21" s="3">
        <f>2054/864000</f>
        <v>0.0023773148148148147</v>
      </c>
      <c r="X21" s="3">
        <f>4310/864000</f>
        <v>0.004988425925925926</v>
      </c>
      <c r="Y21" s="3">
        <f>2922/864000</f>
        <v>0.0033819444444444444</v>
      </c>
    </row>
    <row r="22" spans="1:25" ht="12.75">
      <c r="A22" s="1">
        <v>54</v>
      </c>
      <c r="B22" s="2" t="s">
        <v>51</v>
      </c>
      <c r="C22" s="2" t="s">
        <v>52</v>
      </c>
      <c r="D22" s="2" t="s">
        <v>11</v>
      </c>
      <c r="E22" s="11" t="s">
        <v>12</v>
      </c>
      <c r="F22" s="10">
        <f>1446/864000</f>
        <v>0.0016736111111111112</v>
      </c>
      <c r="G22" s="3">
        <f>1481/864000</f>
        <v>0.0017141203703703704</v>
      </c>
      <c r="H22" s="3">
        <f>5976/864000</f>
        <v>0.0069166666666666664</v>
      </c>
      <c r="I22" s="3"/>
      <c r="J22" s="3">
        <f>6254/864000</f>
        <v>0.007238425925925926</v>
      </c>
      <c r="K22" s="3">
        <f>8017/864000</f>
        <v>0.009278935185185185</v>
      </c>
      <c r="L22" s="3">
        <f>8361/864000</f>
        <v>0.009677083333333333</v>
      </c>
      <c r="M22" s="3">
        <f>5984/864000</f>
        <v>0.006925925925925926</v>
      </c>
      <c r="N22" s="3">
        <f>1721/864000</f>
        <v>0.001991898148148148</v>
      </c>
      <c r="O22" s="3">
        <f>2229/864000</f>
        <v>0.002579861111111111</v>
      </c>
      <c r="P22" s="3">
        <f>1699/864000</f>
        <v>0.001966435185185185</v>
      </c>
      <c r="Q22" s="3">
        <f>2201/864000</f>
        <v>0.0025474537037037037</v>
      </c>
      <c r="R22" s="3"/>
      <c r="S22" s="3"/>
      <c r="T22" s="3">
        <f>2165/864000</f>
        <v>0.002505787037037037</v>
      </c>
      <c r="U22" s="3">
        <f>4499/864000</f>
        <v>0.005207175925925926</v>
      </c>
      <c r="V22" s="3">
        <f>2354/864000</f>
        <v>0.002724537037037037</v>
      </c>
      <c r="W22" s="3">
        <f>2147/864000</f>
        <v>0.0024849537037037036</v>
      </c>
      <c r="X22" s="3">
        <f>4391/864000</f>
        <v>0.005082175925925926</v>
      </c>
      <c r="Y22" s="3">
        <f>2904/864000</f>
        <v>0.003361111111111111</v>
      </c>
    </row>
    <row r="23" spans="1:25" ht="12.75">
      <c r="A23" s="1">
        <v>55</v>
      </c>
      <c r="B23" s="2" t="s">
        <v>53</v>
      </c>
      <c r="C23" s="2" t="s">
        <v>54</v>
      </c>
      <c r="D23" s="2" t="s">
        <v>55</v>
      </c>
      <c r="E23" s="11" t="s">
        <v>56</v>
      </c>
      <c r="F23" s="10">
        <f>1359/864000</f>
        <v>0.0015729166666666667</v>
      </c>
      <c r="G23" s="3">
        <f>1403/864000</f>
        <v>0.0016238425925925925</v>
      </c>
      <c r="H23" s="3">
        <f>5804/864000</f>
        <v>0.006717592592592593</v>
      </c>
      <c r="I23" s="3"/>
      <c r="J23" s="3">
        <f>5920/864000</f>
        <v>0.006851851851851852</v>
      </c>
      <c r="K23" s="3">
        <f>7741/864000</f>
        <v>0.00895949074074074</v>
      </c>
      <c r="L23" s="3">
        <f>8039/864000</f>
        <v>0.009304398148148148</v>
      </c>
      <c r="M23" s="3">
        <f>5671/864000</f>
        <v>0.006563657407407408</v>
      </c>
      <c r="N23" s="3">
        <f>1613/864000</f>
        <v>0.0018668981481481481</v>
      </c>
      <c r="O23" s="3">
        <f>2113/864000</f>
        <v>0.002445601851851852</v>
      </c>
      <c r="P23" s="3">
        <f>1597/864000</f>
        <v>0.0018483796296296297</v>
      </c>
      <c r="Q23" s="3">
        <f>2104/864000</f>
        <v>0.002435185185185185</v>
      </c>
      <c r="R23" s="3"/>
      <c r="S23" s="3"/>
      <c r="T23" s="3">
        <f>1981/864000</f>
        <v>0.002292824074074074</v>
      </c>
      <c r="U23" s="3">
        <f>4245/864000</f>
        <v>0.004913194444444445</v>
      </c>
      <c r="V23" s="3">
        <f>2171/864000</f>
        <v>0.0025127314814814817</v>
      </c>
      <c r="W23" s="3">
        <f>2020/864000</f>
        <v>0.002337962962962963</v>
      </c>
      <c r="X23" s="3">
        <f>4197/864000</f>
        <v>0.004857638888888889</v>
      </c>
      <c r="Y23" s="3">
        <f>2785/864000</f>
        <v>0.0032233796296296294</v>
      </c>
    </row>
    <row r="24" spans="1:25" ht="12.75">
      <c r="A24" s="1">
        <v>56</v>
      </c>
      <c r="B24" s="2" t="s">
        <v>57</v>
      </c>
      <c r="C24" s="2" t="s">
        <v>58</v>
      </c>
      <c r="D24" s="2" t="s">
        <v>11</v>
      </c>
      <c r="E24" s="11" t="s">
        <v>12</v>
      </c>
      <c r="F24" s="10">
        <f>1459/864000</f>
        <v>0.0016886574074074074</v>
      </c>
      <c r="G24" s="3">
        <f>1536/864000</f>
        <v>0.0017777777777777779</v>
      </c>
      <c r="H24" s="3">
        <f>6064/864000</f>
        <v>0.0070185185185185186</v>
      </c>
      <c r="I24" s="3"/>
      <c r="J24" s="3">
        <f>6469/864000</f>
        <v>0.007487268518518518</v>
      </c>
      <c r="K24" s="3">
        <f>8225/864000</f>
        <v>0.009519675925925926</v>
      </c>
      <c r="L24" s="3">
        <f>8521/864000</f>
        <v>0.009862268518518518</v>
      </c>
      <c r="M24" s="3">
        <f>6103/864000</f>
        <v>0.007063657407407407</v>
      </c>
      <c r="N24" s="3">
        <f>1763/864000</f>
        <v>0.0020405092592592593</v>
      </c>
      <c r="O24" s="3">
        <f>2286/864000</f>
        <v>0.0026458333333333334</v>
      </c>
      <c r="P24" s="3">
        <f>1738/864000</f>
        <v>0.002011574074074074</v>
      </c>
      <c r="Q24" s="3">
        <f>2261/864000</f>
        <v>0.002616898148148148</v>
      </c>
      <c r="R24" s="3"/>
      <c r="S24" s="3"/>
      <c r="T24" s="3">
        <f>2167/864000</f>
        <v>0.0025081018518518516</v>
      </c>
      <c r="U24" s="3">
        <f>4564/864000</f>
        <v>0.0052824074074074075</v>
      </c>
      <c r="V24" s="3">
        <f>2402/864000</f>
        <v>0.0027800925925925927</v>
      </c>
      <c r="W24" s="3">
        <f>2282/864000</f>
        <v>0.0026412037037037038</v>
      </c>
      <c r="X24" s="3">
        <f>4459/864000</f>
        <v>0.00516087962962963</v>
      </c>
      <c r="Y24" s="3">
        <f>2930/864000</f>
        <v>0.0033912037037037036</v>
      </c>
    </row>
    <row r="25" spans="1:25" ht="12.75">
      <c r="A25" s="1">
        <v>57</v>
      </c>
      <c r="B25" s="2" t="s">
        <v>59</v>
      </c>
      <c r="C25" s="2" t="s">
        <v>60</v>
      </c>
      <c r="D25" s="2" t="s">
        <v>55</v>
      </c>
      <c r="E25" s="11" t="s">
        <v>61</v>
      </c>
      <c r="F25" s="10">
        <f>1440/864000</f>
        <v>0.0016666666666666668</v>
      </c>
      <c r="G25" s="3">
        <f>1473/864000</f>
        <v>0.0017048611111111112</v>
      </c>
      <c r="H25" s="3">
        <f>6043/864000</f>
        <v>0.006994212962962963</v>
      </c>
      <c r="I25" s="3"/>
      <c r="J25" s="3">
        <f>6193/864000</f>
        <v>0.007167824074074074</v>
      </c>
      <c r="K25" s="3">
        <f>8001/864000</f>
        <v>0.009260416666666667</v>
      </c>
      <c r="L25" s="3">
        <f>8248/864000</f>
        <v>0.009546296296296296</v>
      </c>
      <c r="M25" s="3">
        <f>5858/864000</f>
        <v>0.006780092592592593</v>
      </c>
      <c r="N25" s="3">
        <f>1698/864000</f>
        <v>0.0019652777777777776</v>
      </c>
      <c r="O25" s="3">
        <f>2226/864000</f>
        <v>0.002576388888888889</v>
      </c>
      <c r="P25" s="3">
        <f>1684/864000</f>
        <v>0.001949074074074074</v>
      </c>
      <c r="Q25" s="3">
        <f>2179/864000</f>
        <v>0.002521990740740741</v>
      </c>
      <c r="R25" s="3"/>
      <c r="S25" s="3"/>
      <c r="T25" s="3">
        <f>2069/864000</f>
        <v>0.002394675925925926</v>
      </c>
      <c r="U25" s="3">
        <f>4389/864000</f>
        <v>0.005079861111111111</v>
      </c>
      <c r="V25" s="3">
        <f>2200/864000</f>
        <v>0.0025462962962962965</v>
      </c>
      <c r="W25" s="3">
        <f>2080/864000</f>
        <v>0.0024074074074074076</v>
      </c>
      <c r="X25" s="3">
        <f>4400/864000</f>
        <v>0.005092592592592593</v>
      </c>
      <c r="Y25" s="3">
        <f>2904/864000</f>
        <v>0.003361111111111111</v>
      </c>
    </row>
    <row r="26" spans="1:25" ht="12.75">
      <c r="A26" s="1">
        <v>58</v>
      </c>
      <c r="B26" s="2" t="s">
        <v>62</v>
      </c>
      <c r="C26" s="2" t="s">
        <v>63</v>
      </c>
      <c r="D26" s="2" t="s">
        <v>15</v>
      </c>
      <c r="E26" s="11" t="s">
        <v>64</v>
      </c>
      <c r="F26" s="10">
        <f>1462/864000</f>
        <v>0.0016921296296296296</v>
      </c>
      <c r="G26" s="3">
        <f>1546/864000</f>
        <v>0.0017893518518518519</v>
      </c>
      <c r="H26" s="3">
        <f>6167/864000</f>
        <v>0.007137731481481482</v>
      </c>
      <c r="I26" s="3"/>
      <c r="J26" s="3">
        <f>6349/864000</f>
        <v>0.00734837962962963</v>
      </c>
      <c r="K26" s="3">
        <f>8182/864000</f>
        <v>0.009469907407407408</v>
      </c>
      <c r="L26" s="3">
        <f>8445/864000</f>
        <v>0.009774305555555555</v>
      </c>
      <c r="M26" s="3">
        <f>6050/864000</f>
        <v>0.0070023148148148145</v>
      </c>
      <c r="N26" s="3">
        <f>1748/864000</f>
        <v>0.002023148148148148</v>
      </c>
      <c r="O26" s="3">
        <f>2264/864000</f>
        <v>0.0026203703703703706</v>
      </c>
      <c r="P26" s="3">
        <f>1747/864000</f>
        <v>0.002021990740740741</v>
      </c>
      <c r="Q26" s="3">
        <f>2254/864000</f>
        <v>0.002608796296296296</v>
      </c>
      <c r="R26" s="3"/>
      <c r="S26" s="3"/>
      <c r="T26" s="3">
        <f>2154/864000</f>
        <v>0.0024930555555555556</v>
      </c>
      <c r="U26" s="3">
        <f>4427/864000</f>
        <v>0.005123842592592592</v>
      </c>
      <c r="V26" s="3">
        <f>2334/864000</f>
        <v>0.002701388888888889</v>
      </c>
      <c r="W26" s="3">
        <f>2145/864000</f>
        <v>0.002482638888888889</v>
      </c>
      <c r="X26" s="3">
        <f>4467/864000</f>
        <v>0.005170138888888889</v>
      </c>
      <c r="Y26" s="3">
        <f>2965/864000</f>
        <v>0.003431712962962963</v>
      </c>
    </row>
    <row r="27" spans="1:25" ht="12.75">
      <c r="A27" s="1">
        <v>59</v>
      </c>
      <c r="B27" s="2" t="s">
        <v>65</v>
      </c>
      <c r="C27" s="2" t="s">
        <v>66</v>
      </c>
      <c r="D27" s="2" t="s">
        <v>11</v>
      </c>
      <c r="E27" s="11" t="s">
        <v>67</v>
      </c>
      <c r="F27" s="10">
        <f>1488/864000</f>
        <v>0.0017222222222222222</v>
      </c>
      <c r="G27" s="3">
        <f>1474/864000</f>
        <v>0.0017060185185185186</v>
      </c>
      <c r="H27" s="3">
        <f>6096/864000</f>
        <v>0.007055555555555555</v>
      </c>
      <c r="I27" s="3"/>
      <c r="J27" s="3">
        <f>6372/864000</f>
        <v>0.007375</v>
      </c>
      <c r="K27" s="3">
        <f>8219/864000</f>
        <v>0.009512731481481481</v>
      </c>
      <c r="L27" s="3">
        <f>8482/864000</f>
        <v>0.009817129629629629</v>
      </c>
      <c r="M27" s="3">
        <f>6042/864000</f>
        <v>0.006993055555555555</v>
      </c>
      <c r="N27" s="3">
        <f>1753/864000</f>
        <v>0.0020289351851851853</v>
      </c>
      <c r="O27" s="3">
        <f>2274/864000</f>
        <v>0.0026319444444444446</v>
      </c>
      <c r="P27" s="3">
        <f>1741/864000</f>
        <v>0.0020150462962962965</v>
      </c>
      <c r="Q27" s="3">
        <f>2243/864000</f>
        <v>0.002596064814814815</v>
      </c>
      <c r="R27" s="3"/>
      <c r="S27" s="3"/>
      <c r="T27" s="3">
        <f>2173/864000</f>
        <v>0.0025150462962962965</v>
      </c>
      <c r="U27" s="3">
        <f>4816/864000</f>
        <v>0.005574074074074074</v>
      </c>
      <c r="V27" s="3">
        <f>2418/864000</f>
        <v>0.002798611111111111</v>
      </c>
      <c r="W27" s="3">
        <f>2217/864000</f>
        <v>0.002565972222222222</v>
      </c>
      <c r="X27" s="3">
        <f>4563/864000</f>
        <v>0.00528125</v>
      </c>
      <c r="Y27" s="3">
        <f>2984/864000</f>
        <v>0.0034537037037037036</v>
      </c>
    </row>
    <row r="28" spans="1:25" ht="12.75">
      <c r="A28" s="1">
        <v>60</v>
      </c>
      <c r="B28" s="2" t="s">
        <v>68</v>
      </c>
      <c r="C28" s="2" t="s">
        <v>69</v>
      </c>
      <c r="D28" s="2" t="s">
        <v>15</v>
      </c>
      <c r="E28" s="11" t="s">
        <v>70</v>
      </c>
      <c r="F28" s="10">
        <f>1442/864000</f>
        <v>0.0016689814814814816</v>
      </c>
      <c r="G28" s="3">
        <f>1501/864000</f>
        <v>0.0017372685185185184</v>
      </c>
      <c r="H28" s="3">
        <f>6254/864000</f>
        <v>0.007238425925925926</v>
      </c>
      <c r="I28" s="3"/>
      <c r="J28" s="3">
        <f>6562/864000</f>
        <v>0.007594907407407407</v>
      </c>
      <c r="K28" s="3">
        <f>8340/864000</f>
        <v>0.009652777777777777</v>
      </c>
      <c r="L28" s="3">
        <f>8627/864000</f>
        <v>0.009984953703703704</v>
      </c>
      <c r="M28" s="3">
        <f>6213/864000</f>
        <v>0.007190972222222222</v>
      </c>
      <c r="N28" s="3">
        <f>1724/864000</f>
        <v>0.0019953703703703704</v>
      </c>
      <c r="O28" s="3">
        <f>2316/864000</f>
        <v>0.0026805555555555554</v>
      </c>
      <c r="P28" s="3">
        <f>1737/864000</f>
        <v>0.002010416666666667</v>
      </c>
      <c r="Q28" s="3">
        <f>2301/864000</f>
        <v>0.0026631944444444446</v>
      </c>
      <c r="R28" s="3"/>
      <c r="S28" s="3"/>
      <c r="T28" s="3">
        <f>2200/864000</f>
        <v>0.0025462962962962965</v>
      </c>
      <c r="U28" s="3">
        <f>4635/864000</f>
        <v>0.005364583333333333</v>
      </c>
      <c r="V28" s="3">
        <f>2447/864000</f>
        <v>0.002832175925925926</v>
      </c>
      <c r="W28" s="3">
        <f>2184/864000</f>
        <v>0.0025277777777777777</v>
      </c>
      <c r="X28" s="3">
        <f>4680/864000</f>
        <v>0.005416666666666667</v>
      </c>
      <c r="Y28" s="3">
        <f>3029/864000</f>
        <v>0.003505787037037037</v>
      </c>
    </row>
    <row r="29" spans="1:25" ht="12.75">
      <c r="A29" s="1">
        <v>61</v>
      </c>
      <c r="B29" s="2" t="s">
        <v>71</v>
      </c>
      <c r="C29" s="2" t="s">
        <v>71</v>
      </c>
      <c r="D29" s="2" t="s">
        <v>15</v>
      </c>
      <c r="E29" s="11" t="s">
        <v>16</v>
      </c>
      <c r="F29" s="10">
        <f>1423/864000</f>
        <v>0.0016469907407407407</v>
      </c>
      <c r="G29" s="3">
        <f>1529/864000</f>
        <v>0.0017696759259259258</v>
      </c>
      <c r="H29" s="3">
        <f>6181/864000</f>
        <v>0.007153935185185185</v>
      </c>
      <c r="I29" s="3"/>
      <c r="J29" s="3">
        <f>6559/864000</f>
        <v>0.0075914351851851854</v>
      </c>
      <c r="K29" s="3">
        <f>8164/864000</f>
        <v>0.009449074074074073</v>
      </c>
      <c r="L29" s="3">
        <f>8515/864000</f>
        <v>0.009855324074074074</v>
      </c>
      <c r="M29" s="3">
        <f>6098/864000</f>
        <v>0.007057870370370371</v>
      </c>
      <c r="N29" s="3">
        <f>1761/864000</f>
        <v>0.0020381944444444445</v>
      </c>
      <c r="O29" s="3">
        <f>2284/864000</f>
        <v>0.0026435185185185186</v>
      </c>
      <c r="P29" s="3">
        <f>1727/864000</f>
        <v>0.0019988425925925924</v>
      </c>
      <c r="Q29" s="3">
        <f>2274/864000</f>
        <v>0.0026319444444444446</v>
      </c>
      <c r="R29" s="3"/>
      <c r="S29" s="3"/>
      <c r="T29" s="3">
        <f>2213/864000</f>
        <v>0.0025613425925925925</v>
      </c>
      <c r="U29" s="3">
        <f>4624/864000</f>
        <v>0.0053518518518518516</v>
      </c>
      <c r="V29" s="3">
        <f>2427/864000</f>
        <v>0.002809027777777778</v>
      </c>
      <c r="W29" s="3">
        <f>2160/864000</f>
        <v>0.0025</v>
      </c>
      <c r="X29" s="3">
        <f>4563/864000</f>
        <v>0.00528125</v>
      </c>
      <c r="Y29" s="3">
        <f>3017/864000</f>
        <v>0.003491898148148148</v>
      </c>
    </row>
    <row r="30" spans="1:25" ht="12.75">
      <c r="A30" s="1">
        <v>63</v>
      </c>
      <c r="B30" s="2" t="s">
        <v>72</v>
      </c>
      <c r="C30" s="2" t="s">
        <v>68</v>
      </c>
      <c r="D30" s="2" t="s">
        <v>11</v>
      </c>
      <c r="E30" s="11" t="s">
        <v>73</v>
      </c>
      <c r="F30" s="10">
        <f>1649/864000</f>
        <v>0.0019085648148148148</v>
      </c>
      <c r="G30" s="3">
        <f>1749/864000</f>
        <v>0.0020243055555555557</v>
      </c>
      <c r="H30" s="3">
        <f>7217/864000</f>
        <v>0.00835300925925926</v>
      </c>
      <c r="I30" s="3"/>
      <c r="J30" s="3">
        <f>7200/864000</f>
        <v>0.008333333333333333</v>
      </c>
      <c r="K30" s="3">
        <f>9147/864000</f>
        <v>0.010586805555555556</v>
      </c>
      <c r="L30" s="3">
        <f>9953/864000</f>
        <v>0.011519675925925926</v>
      </c>
      <c r="M30" s="12">
        <f>7155/864000</f>
        <v>0.00828125</v>
      </c>
      <c r="N30" s="12">
        <f>2289/864000</f>
        <v>0.0026493055555555554</v>
      </c>
      <c r="O30" s="12">
        <f>2817/864000</f>
        <v>0.0032604166666666667</v>
      </c>
      <c r="P30" s="12">
        <f>2279/864000</f>
        <v>0.0026377314814814814</v>
      </c>
      <c r="Q30" s="12">
        <f>2232/864000</f>
        <v>0.0025833333333333333</v>
      </c>
      <c r="R30" s="3"/>
      <c r="S30" s="3"/>
      <c r="T30" s="3">
        <f>2383/864000</f>
        <v>0.002758101851851852</v>
      </c>
      <c r="U30" s="3">
        <f>5120/864000</f>
        <v>0.005925925925925926</v>
      </c>
      <c r="V30" s="3">
        <f>2734/864000</f>
        <v>0.003164351851851852</v>
      </c>
      <c r="W30" s="3">
        <f>2338/864000</f>
        <v>0.0027060185185185186</v>
      </c>
      <c r="X30" s="3">
        <f>5042/864000</f>
        <v>0.005835648148148148</v>
      </c>
      <c r="Y30" s="3">
        <f>3287/864000</f>
        <v>0.0038043981481481483</v>
      </c>
    </row>
    <row r="31" spans="1:25" ht="12.75">
      <c r="A31" s="1">
        <v>64</v>
      </c>
      <c r="B31" s="2" t="s">
        <v>74</v>
      </c>
      <c r="C31" s="2" t="s">
        <v>75</v>
      </c>
      <c r="D31" s="2" t="s">
        <v>15</v>
      </c>
      <c r="E31" s="11" t="s">
        <v>76</v>
      </c>
      <c r="F31" s="10">
        <f>1496/864000</f>
        <v>0.0017314814814814814</v>
      </c>
      <c r="G31" s="3">
        <f>1573/864000</f>
        <v>0.001820601851851852</v>
      </c>
      <c r="H31" s="3">
        <f>6498/864000</f>
        <v>0.007520833333333333</v>
      </c>
      <c r="I31" s="3"/>
      <c r="J31" s="12">
        <f>7614/864000</f>
        <v>0.0088125</v>
      </c>
      <c r="K31" s="12">
        <f>9509/864000</f>
        <v>0.011005787037037038</v>
      </c>
      <c r="L31" s="12">
        <f>10253/864000</f>
        <v>0.011866898148148149</v>
      </c>
      <c r="M31" s="12">
        <f>7155/864000</f>
        <v>0.00828125</v>
      </c>
      <c r="N31" s="12">
        <f>2289/864000</f>
        <v>0.0026493055555555554</v>
      </c>
      <c r="O31" s="12">
        <f>2817/864000</f>
        <v>0.0032604166666666667</v>
      </c>
      <c r="P31" s="12">
        <f>2279/864000</f>
        <v>0.0026377314814814814</v>
      </c>
      <c r="Q31" s="12">
        <f>2232/864000</f>
        <v>0.0025833333333333333</v>
      </c>
      <c r="R31" s="3"/>
      <c r="S31" s="3"/>
      <c r="T31" s="3">
        <f>2324/864000</f>
        <v>0.002689814814814815</v>
      </c>
      <c r="U31" s="3">
        <f>4758/864000</f>
        <v>0.0055069444444444445</v>
      </c>
      <c r="V31" s="3">
        <f>2522/864000</f>
        <v>0.0029189814814814816</v>
      </c>
      <c r="W31" s="3">
        <f>2276/864000</f>
        <v>0.0026342592592592594</v>
      </c>
      <c r="X31" s="3">
        <f>4743/864000</f>
        <v>0.005489583333333333</v>
      </c>
      <c r="Y31" s="3">
        <f>3107/864000</f>
        <v>0.003596064814814815</v>
      </c>
    </row>
    <row r="32" spans="1:25" ht="12.75">
      <c r="A32" s="1">
        <v>65</v>
      </c>
      <c r="B32" s="2" t="s">
        <v>77</v>
      </c>
      <c r="C32" s="2" t="s">
        <v>78</v>
      </c>
      <c r="D32" s="2" t="s">
        <v>15</v>
      </c>
      <c r="E32" s="11" t="s">
        <v>64</v>
      </c>
      <c r="F32" s="10">
        <f>1737/864000</f>
        <v>0.002010416666666667</v>
      </c>
      <c r="G32" s="3">
        <f>1829/864000</f>
        <v>0.002116898148148148</v>
      </c>
      <c r="H32" s="3">
        <f>6971/864000</f>
        <v>0.008068287037037037</v>
      </c>
      <c r="I32" s="3"/>
      <c r="J32" s="3">
        <f>7266/864000</f>
        <v>0.008409722222222223</v>
      </c>
      <c r="K32" s="3">
        <f>9209/864000</f>
        <v>0.010658564814814815</v>
      </c>
      <c r="L32" s="3">
        <f>9511/864000</f>
        <v>0.011008101851851852</v>
      </c>
      <c r="M32" s="3">
        <f>6855/864000</f>
        <v>0.007934027777777778</v>
      </c>
      <c r="N32" s="3">
        <f>1989/864000</f>
        <v>0.0023020833333333335</v>
      </c>
      <c r="O32" s="3">
        <f>2514/864000</f>
        <v>0.0029097222222222224</v>
      </c>
      <c r="P32" s="3">
        <f>1979/864000</f>
        <v>0.002290509259259259</v>
      </c>
      <c r="Q32" s="3">
        <f>2522/864000</f>
        <v>0.0029189814814814816</v>
      </c>
      <c r="R32" s="3"/>
      <c r="S32" s="3"/>
      <c r="T32" s="3">
        <f>2474/864000</f>
        <v>0.002863425925925926</v>
      </c>
      <c r="U32" s="3">
        <f>5057/864000</f>
        <v>0.005853009259259259</v>
      </c>
      <c r="V32" s="3">
        <f>2644/864000</f>
        <v>0.0030601851851851853</v>
      </c>
      <c r="W32" s="3">
        <f>2461/864000</f>
        <v>0.0028483796296296295</v>
      </c>
      <c r="X32" s="3">
        <f>5000/864000</f>
        <v>0.005787037037037037</v>
      </c>
      <c r="Y32" s="3">
        <f>3210/864000</f>
        <v>0.003715277777777778</v>
      </c>
    </row>
    <row r="33" spans="1:25" ht="12.75">
      <c r="A33" s="1">
        <v>66</v>
      </c>
      <c r="B33" s="2" t="s">
        <v>79</v>
      </c>
      <c r="C33" s="2" t="s">
        <v>80</v>
      </c>
      <c r="D33" s="2" t="s">
        <v>11</v>
      </c>
      <c r="E33" s="11" t="s">
        <v>12</v>
      </c>
      <c r="F33" s="10">
        <f>1474/864000</f>
        <v>0.0017060185185185186</v>
      </c>
      <c r="G33" s="3">
        <f>1561/864000</f>
        <v>0.0018067129629629629</v>
      </c>
      <c r="H33" s="3">
        <f>6259/864000</f>
        <v>0.007244212962962963</v>
      </c>
      <c r="I33" s="3"/>
      <c r="J33" s="3">
        <f>6413/864000</f>
        <v>0.007422453703703704</v>
      </c>
      <c r="K33" s="3">
        <f>8150/864000</f>
        <v>0.009432870370370371</v>
      </c>
      <c r="L33" s="3">
        <f>8493/864000</f>
        <v>0.00982986111111111</v>
      </c>
      <c r="M33" s="3">
        <f>6165/864000</f>
        <v>0.007135416666666667</v>
      </c>
      <c r="N33" s="3">
        <f>1756/864000</f>
        <v>0.0020324074074074073</v>
      </c>
      <c r="O33" s="3">
        <f>2271/864000</f>
        <v>0.002628472222222222</v>
      </c>
      <c r="P33" s="3">
        <f>1759/864000</f>
        <v>0.0020358796296296297</v>
      </c>
      <c r="Q33" s="3">
        <f>2249/864000</f>
        <v>0.0026030092592592593</v>
      </c>
      <c r="R33" s="3"/>
      <c r="S33" s="3"/>
      <c r="T33" s="3">
        <f>2171/864000</f>
        <v>0.0025127314814814817</v>
      </c>
      <c r="U33" s="3">
        <f>4569/864000</f>
        <v>0.005288194444444444</v>
      </c>
      <c r="V33" s="3">
        <f>2381/864000</f>
        <v>0.002755787037037037</v>
      </c>
      <c r="W33" s="3">
        <f>2161/864000</f>
        <v>0.0025011574074074072</v>
      </c>
      <c r="X33" s="3">
        <f>4540/864000</f>
        <v>0.00525462962962963</v>
      </c>
      <c r="Y33" s="3">
        <f>3041/864000</f>
        <v>0.003519675925925926</v>
      </c>
    </row>
    <row r="34" spans="1:25" ht="12.75">
      <c r="A34" s="1">
        <v>67</v>
      </c>
      <c r="B34" s="2" t="s">
        <v>81</v>
      </c>
      <c r="C34" s="2" t="s">
        <v>81</v>
      </c>
      <c r="D34" s="2" t="s">
        <v>46</v>
      </c>
      <c r="E34" s="11" t="s">
        <v>82</v>
      </c>
      <c r="F34" s="10">
        <f>1665/864000</f>
        <v>0.0019270833333333334</v>
      </c>
      <c r="G34" s="3">
        <f>1781/864000</f>
        <v>0.0020613425925925925</v>
      </c>
      <c r="H34" s="3">
        <f>7052/864000</f>
        <v>0.008162037037037037</v>
      </c>
      <c r="I34" s="3"/>
      <c r="J34" s="3">
        <f>7314/864000</f>
        <v>0.008465277777777778</v>
      </c>
      <c r="K34" s="3">
        <f>9187/864000</f>
        <v>0.010633101851851852</v>
      </c>
      <c r="L34" s="3">
        <f>9645/864000</f>
        <v>0.011163194444444444</v>
      </c>
      <c r="M34" s="3">
        <f>6755/864000</f>
        <v>0.007818287037037037</v>
      </c>
      <c r="N34" s="3">
        <f>1908/864000</f>
        <v>0.0022083333333333334</v>
      </c>
      <c r="O34" s="3">
        <f>2517/864000</f>
        <v>0.0029131944444444444</v>
      </c>
      <c r="P34" s="3">
        <f>1961/864000</f>
        <v>0.002269675925925926</v>
      </c>
      <c r="Q34" s="3">
        <f>2511/864000</f>
        <v>0.00290625</v>
      </c>
      <c r="R34" s="3"/>
      <c r="S34" s="3"/>
      <c r="T34" s="3"/>
      <c r="U34" s="3"/>
      <c r="V34" s="3"/>
      <c r="W34" s="3"/>
      <c r="X34" s="3"/>
      <c r="Y34" s="3"/>
    </row>
    <row r="35" spans="1:25" ht="12.75">
      <c r="A35" s="1">
        <v>68</v>
      </c>
      <c r="B35" s="2" t="s">
        <v>83</v>
      </c>
      <c r="C35" s="2" t="s">
        <v>84</v>
      </c>
      <c r="D35" s="2" t="s">
        <v>7</v>
      </c>
      <c r="E35" s="11" t="s">
        <v>85</v>
      </c>
      <c r="F35" s="10">
        <f>1582/864000</f>
        <v>0.0018310185185185185</v>
      </c>
      <c r="G35" s="3">
        <f>1623/864000</f>
        <v>0.0018784722222222221</v>
      </c>
      <c r="H35" s="3">
        <f>6516/864000</f>
        <v>0.007541666666666667</v>
      </c>
      <c r="I35" s="3"/>
      <c r="J35" s="3">
        <f>6836/864000</f>
        <v>0.007912037037037037</v>
      </c>
      <c r="K35" s="3">
        <f>8712/864000</f>
        <v>0.010083333333333333</v>
      </c>
      <c r="L35" s="3">
        <f>9153/864000</f>
        <v>0.01059375</v>
      </c>
      <c r="M35" s="3">
        <f>6673/864000</f>
        <v>0.0077233796296296295</v>
      </c>
      <c r="N35" s="3">
        <f>1900/864000</f>
        <v>0.002199074074074074</v>
      </c>
      <c r="O35" s="3">
        <f>2422/864000</f>
        <v>0.0028032407407407407</v>
      </c>
      <c r="P35" s="3">
        <f>1856/864000</f>
        <v>0.002148148148148148</v>
      </c>
      <c r="Q35" s="3">
        <f>2383/864000</f>
        <v>0.002758101851851852</v>
      </c>
      <c r="R35" s="3"/>
      <c r="S35" s="3"/>
      <c r="T35" s="3">
        <f>2344/864000</f>
        <v>0.002712962962962963</v>
      </c>
      <c r="U35" s="7">
        <f>4882/864000</f>
        <v>0.005650462962962963</v>
      </c>
      <c r="V35" s="3">
        <f>2542/864000</f>
        <v>0.0029421296296296296</v>
      </c>
      <c r="W35" s="3">
        <f>2338/864000</f>
        <v>0.0027060185185185186</v>
      </c>
      <c r="X35" s="3">
        <f>4780/864000</f>
        <v>0.005532407407407408</v>
      </c>
      <c r="Y35" s="3">
        <f>3205/864000</f>
        <v>0.0037094907407407406</v>
      </c>
    </row>
    <row r="36" spans="1:25" ht="12.75">
      <c r="A36" s="1">
        <v>69</v>
      </c>
      <c r="B36" s="2" t="s">
        <v>86</v>
      </c>
      <c r="C36" s="2" t="s">
        <v>87</v>
      </c>
      <c r="D36" s="2" t="s">
        <v>33</v>
      </c>
      <c r="E36" s="11" t="s">
        <v>88</v>
      </c>
      <c r="F36" s="10">
        <f>1541/864000</f>
        <v>0.0017835648148148149</v>
      </c>
      <c r="G36" s="3">
        <f>1685/864000</f>
        <v>0.0019502314814814814</v>
      </c>
      <c r="H36" s="3">
        <f>6581/864000</f>
        <v>0.007616898148148148</v>
      </c>
      <c r="I36" s="3"/>
      <c r="J36" s="3">
        <f>6929/864000</f>
        <v>0.008019675925925927</v>
      </c>
      <c r="K36" s="3">
        <f>8888/864000</f>
        <v>0.010287037037037037</v>
      </c>
      <c r="L36" s="3">
        <f>9334/864000</f>
        <v>0.01080324074074074</v>
      </c>
      <c r="M36" s="3">
        <f>6641/864000</f>
        <v>0.007686342592592593</v>
      </c>
      <c r="N36" s="3">
        <f>1929/864000</f>
        <v>0.002232638888888889</v>
      </c>
      <c r="O36" s="3">
        <f>2442/864000</f>
        <v>0.0028263888888888887</v>
      </c>
      <c r="P36" s="3">
        <f>1917/864000</f>
        <v>0.00221875</v>
      </c>
      <c r="Q36" s="3">
        <f>2431/864000</f>
        <v>0.0028136574074074075</v>
      </c>
      <c r="R36" s="3"/>
      <c r="S36" s="3"/>
      <c r="T36" s="3">
        <f>2435/864000</f>
        <v>0.002818287037037037</v>
      </c>
      <c r="U36" s="3"/>
      <c r="V36" s="3"/>
      <c r="W36" s="3"/>
      <c r="X36" s="3"/>
      <c r="Y36" s="3"/>
    </row>
    <row r="37" spans="1:25" ht="12.75">
      <c r="A37" s="1">
        <v>70</v>
      </c>
      <c r="B37" s="2" t="s">
        <v>89</v>
      </c>
      <c r="C37" s="2" t="s">
        <v>90</v>
      </c>
      <c r="D37" s="2" t="s">
        <v>15</v>
      </c>
      <c r="E37" s="11" t="s">
        <v>91</v>
      </c>
      <c r="F37" s="10">
        <f>1477/864000</f>
        <v>0.0017094907407407408</v>
      </c>
      <c r="G37" s="3">
        <f>1523/864000</f>
        <v>0.0017627314814814814</v>
      </c>
      <c r="H37" s="3">
        <f>6219/864000</f>
        <v>0.007197916666666667</v>
      </c>
      <c r="I37" s="3"/>
      <c r="J37" s="3">
        <f>6423/864000</f>
        <v>0.007434027777777778</v>
      </c>
      <c r="K37" s="3">
        <f>8307/864000</f>
        <v>0.009614583333333333</v>
      </c>
      <c r="L37" s="3">
        <f>8677/864000</f>
        <v>0.010042824074074074</v>
      </c>
      <c r="M37" s="3">
        <f>6189/864000</f>
        <v>0.007163194444444444</v>
      </c>
      <c r="N37" s="3">
        <f>1739/864000</f>
        <v>0.0020127314814814817</v>
      </c>
      <c r="O37" s="3">
        <f>2252/864000</f>
        <v>0.0026064814814814813</v>
      </c>
      <c r="P37" s="3">
        <f>1734/864000</f>
        <v>0.0020069444444444444</v>
      </c>
      <c r="Q37" s="3">
        <f>2250/864000</f>
        <v>0.0026041666666666665</v>
      </c>
      <c r="R37" s="3"/>
      <c r="S37" s="3"/>
      <c r="T37" s="3">
        <f>2150/864000</f>
        <v>0.002488425925925926</v>
      </c>
      <c r="U37" s="3">
        <f>4475/864000</f>
        <v>0.005179398148148148</v>
      </c>
      <c r="V37" s="3">
        <f>2403/864000</f>
        <v>0.00278125</v>
      </c>
      <c r="W37" s="3">
        <f>2179/864000</f>
        <v>0.002521990740740741</v>
      </c>
      <c r="X37" s="3">
        <f>4627/864000</f>
        <v>0.005355324074074074</v>
      </c>
      <c r="Y37" s="3">
        <f>3021/864000</f>
        <v>0.0034965277777777777</v>
      </c>
    </row>
    <row r="38" spans="1:25" ht="12.75">
      <c r="A38" s="1">
        <v>101</v>
      </c>
      <c r="B38" s="2" t="s">
        <v>92</v>
      </c>
      <c r="C38" s="2" t="s">
        <v>93</v>
      </c>
      <c r="D38" s="2" t="s">
        <v>46</v>
      </c>
      <c r="E38" s="11">
        <v>911</v>
      </c>
      <c r="F38" s="10">
        <f>1426/864000</f>
        <v>0.001650462962962963</v>
      </c>
      <c r="G38" s="3">
        <f>1426/864000</f>
        <v>0.001650462962962963</v>
      </c>
      <c r="H38" s="3">
        <f>6011/864000</f>
        <v>0.006957175925925926</v>
      </c>
      <c r="I38" s="3"/>
      <c r="J38" s="3">
        <f>6289/864000</f>
        <v>0.007278935185185185</v>
      </c>
      <c r="K38" s="3">
        <f>7929/864000</f>
        <v>0.009177083333333334</v>
      </c>
      <c r="L38" s="3">
        <f>8286/864000</f>
        <v>0.009590277777777777</v>
      </c>
      <c r="M38" s="3">
        <f>5920/864000</f>
        <v>0.006851851851851852</v>
      </c>
      <c r="N38" s="3">
        <f>1642/864000</f>
        <v>0.001900462962962963</v>
      </c>
      <c r="O38" s="3">
        <f>2195/864000</f>
        <v>0.0025405092592592593</v>
      </c>
      <c r="P38" s="3">
        <f>1666/864000</f>
        <v>0.0019282407407407408</v>
      </c>
      <c r="Q38" s="3">
        <f>2170/864000</f>
        <v>0.002511574074074074</v>
      </c>
      <c r="R38" s="3"/>
      <c r="S38" s="3"/>
      <c r="T38" s="3">
        <f>2139/864000</f>
        <v>0.0024756944444444444</v>
      </c>
      <c r="U38" s="3">
        <f>4516/864000</f>
        <v>0.0052268518518518515</v>
      </c>
      <c r="V38" s="3">
        <f>2330/864000</f>
        <v>0.0026967592592592594</v>
      </c>
      <c r="W38" s="3">
        <f>2155/864000</f>
        <v>0.002494212962962963</v>
      </c>
      <c r="X38" s="3">
        <f>4468/864000</f>
        <v>0.005171296296296296</v>
      </c>
      <c r="Y38" s="3">
        <f>3095/864000</f>
        <v>0.0035821759259259257</v>
      </c>
    </row>
    <row r="39" spans="1:25" ht="12.75">
      <c r="A39" s="1">
        <v>102</v>
      </c>
      <c r="B39" s="2" t="s">
        <v>94</v>
      </c>
      <c r="C39" s="2" t="s">
        <v>95</v>
      </c>
      <c r="D39" s="2" t="s">
        <v>46</v>
      </c>
      <c r="E39" s="11" t="s">
        <v>96</v>
      </c>
      <c r="F39" s="10">
        <f>1504/864000</f>
        <v>0.0017407407407407408</v>
      </c>
      <c r="G39" s="3">
        <f>1572/864000</f>
        <v>0.0018194444444444445</v>
      </c>
      <c r="H39" s="3">
        <f>6345/864000</f>
        <v>0.00734375</v>
      </c>
      <c r="I39" s="3"/>
      <c r="J39" s="3">
        <f>6530/864000</f>
        <v>0.00755787037037037</v>
      </c>
      <c r="K39" s="3">
        <f>8265/864000</f>
        <v>0.009565972222222222</v>
      </c>
      <c r="L39" s="3">
        <f>8670/864000</f>
        <v>0.010034722222222223</v>
      </c>
      <c r="M39" s="3">
        <f>6158/864000</f>
        <v>0.007127314814814815</v>
      </c>
      <c r="N39" s="3">
        <f>1750/864000</f>
        <v>0.002025462962962963</v>
      </c>
      <c r="O39" s="3">
        <f>2346/864000</f>
        <v>0.002715277777777778</v>
      </c>
      <c r="P39" s="3">
        <f>1742/864000</f>
        <v>0.0020162037037037036</v>
      </c>
      <c r="Q39" s="3">
        <f>2304/864000</f>
        <v>0.0026666666666666666</v>
      </c>
      <c r="R39" s="3"/>
      <c r="S39" s="3"/>
      <c r="T39" s="3">
        <f>2257/864000</f>
        <v>0.0026122685185185185</v>
      </c>
      <c r="U39" s="3">
        <f>4654/864000</f>
        <v>0.005386574074074074</v>
      </c>
      <c r="V39" s="3">
        <f>2414/864000</f>
        <v>0.0027939814814814815</v>
      </c>
      <c r="W39" s="3">
        <f>2191/864000</f>
        <v>0.0025358796296296297</v>
      </c>
      <c r="X39" s="3">
        <f>4480/864000</f>
        <v>0.005185185185185185</v>
      </c>
      <c r="Y39" s="3">
        <f>2974/864000</f>
        <v>0.0034421296296296296</v>
      </c>
    </row>
    <row r="40" spans="1:25" ht="12.75">
      <c r="A40" s="1">
        <v>103</v>
      </c>
      <c r="B40" s="2" t="s">
        <v>97</v>
      </c>
      <c r="C40" s="2" t="s">
        <v>97</v>
      </c>
      <c r="D40" s="2" t="s">
        <v>98</v>
      </c>
      <c r="E40" s="11" t="s">
        <v>99</v>
      </c>
      <c r="F40" s="10">
        <f>1396/864000</f>
        <v>0.0016157407407407407</v>
      </c>
      <c r="G40" s="3">
        <f>1466/864000</f>
        <v>0.0016967592592592592</v>
      </c>
      <c r="H40" s="3">
        <f>6076/864000</f>
        <v>0.007032407407407407</v>
      </c>
      <c r="I40" s="3"/>
      <c r="J40" s="3">
        <f>6299/864000</f>
        <v>0.00729050925925926</v>
      </c>
      <c r="K40" s="3">
        <f>8136/864000</f>
        <v>0.009416666666666667</v>
      </c>
      <c r="L40" s="3">
        <f>8472/864000</f>
        <v>0.009805555555555555</v>
      </c>
      <c r="M40" s="3">
        <f>6104/864000</f>
        <v>0.007064814814814815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1">
        <v>104</v>
      </c>
      <c r="B41" s="2" t="s">
        <v>100</v>
      </c>
      <c r="C41" s="2" t="s">
        <v>101</v>
      </c>
      <c r="D41" s="2" t="s">
        <v>33</v>
      </c>
      <c r="E41" s="11" t="s">
        <v>34</v>
      </c>
      <c r="F41" s="10">
        <f>1461/864000</f>
        <v>0.0016909722222222222</v>
      </c>
      <c r="G41" s="3">
        <f>1543/864000</f>
        <v>0.0017858796296296297</v>
      </c>
      <c r="H41" s="3">
        <f>6296/864000</f>
        <v>0.007287037037037037</v>
      </c>
      <c r="I41" s="3"/>
      <c r="J41" s="3">
        <f>6653/864000</f>
        <v>0.0077002314814814815</v>
      </c>
      <c r="K41" s="3">
        <f>8397/864000</f>
        <v>0.00971875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1">
        <v>105</v>
      </c>
      <c r="B42" s="2" t="s">
        <v>102</v>
      </c>
      <c r="C42" s="2" t="s">
        <v>103</v>
      </c>
      <c r="D42" s="2" t="s">
        <v>46</v>
      </c>
      <c r="E42" s="11">
        <v>911</v>
      </c>
      <c r="F42" s="10">
        <f>1496/864000</f>
        <v>0.0017314814814814814</v>
      </c>
      <c r="G42" s="3">
        <f>1551/864000</f>
        <v>0.0017951388888888889</v>
      </c>
      <c r="H42" s="3">
        <f>6424/864000</f>
        <v>0.007435185185185185</v>
      </c>
      <c r="I42" s="3"/>
      <c r="J42" s="3">
        <f>6884/864000</f>
        <v>0.007967592592592592</v>
      </c>
      <c r="K42" s="3">
        <f>8590/864000</f>
        <v>0.009942129629629629</v>
      </c>
      <c r="L42" s="3">
        <f>8976/864000</f>
        <v>0.010388888888888888</v>
      </c>
      <c r="M42" s="3">
        <f>6374/864000</f>
        <v>0.007377314814814815</v>
      </c>
      <c r="N42" s="3">
        <f>1836/864000</f>
        <v>0.002125</v>
      </c>
      <c r="O42" s="3">
        <f>2349/864000</f>
        <v>0.00271875</v>
      </c>
      <c r="P42" s="3">
        <f>1806/864000</f>
        <v>0.0020902777777777777</v>
      </c>
      <c r="Q42" s="3">
        <f>2301/864000</f>
        <v>0.0026631944444444446</v>
      </c>
      <c r="R42" s="3"/>
      <c r="S42" s="3"/>
      <c r="T42" s="3">
        <f>2264/864000</f>
        <v>0.0026203703703703706</v>
      </c>
      <c r="U42" s="3">
        <f>4783/864000</f>
        <v>0.005535879629629629</v>
      </c>
      <c r="V42" s="3">
        <f>2520/864000</f>
        <v>0.002916666666666667</v>
      </c>
      <c r="W42" s="3">
        <f>2332/864000</f>
        <v>0.0026990740740740742</v>
      </c>
      <c r="X42" s="3">
        <f>4830/864000</f>
        <v>0.005590277777777777</v>
      </c>
      <c r="Y42" s="3">
        <f>3150/864000</f>
        <v>0.0036458333333333334</v>
      </c>
    </row>
    <row r="43" spans="1:25" ht="12.75">
      <c r="A43" s="1">
        <v>106</v>
      </c>
      <c r="B43" s="2" t="s">
        <v>104</v>
      </c>
      <c r="C43" s="2" t="s">
        <v>105</v>
      </c>
      <c r="D43" s="2" t="s">
        <v>46</v>
      </c>
      <c r="E43" s="11" t="s">
        <v>106</v>
      </c>
      <c r="F43" s="10">
        <f>1476/864000</f>
        <v>0.0017083333333333334</v>
      </c>
      <c r="G43" s="3">
        <f>1493/864000</f>
        <v>0.0017280092592592592</v>
      </c>
      <c r="H43" s="3">
        <f>6260/864000</f>
        <v>0.007245370370370371</v>
      </c>
      <c r="I43" s="3"/>
      <c r="J43" s="3">
        <f>6497/864000</f>
        <v>0.007519675925925926</v>
      </c>
      <c r="K43" s="3">
        <f>8248/864000</f>
        <v>0.009546296296296296</v>
      </c>
      <c r="L43" s="7">
        <f>8684/864000</f>
        <v>0.010050925925925927</v>
      </c>
      <c r="M43" s="3">
        <f>6243/864000</f>
        <v>0.007225694444444444</v>
      </c>
      <c r="N43" s="3">
        <f>1746/864000</f>
        <v>0.0020208333333333332</v>
      </c>
      <c r="O43" s="3">
        <f>2352/864000</f>
        <v>0.0027222222222222222</v>
      </c>
      <c r="P43" s="3">
        <f>1754/864000</f>
        <v>0.0020300925925925925</v>
      </c>
      <c r="Q43" s="3">
        <f>2279/864000</f>
        <v>0.0026377314814814814</v>
      </c>
      <c r="R43" s="3"/>
      <c r="S43" s="3"/>
      <c r="T43" s="3">
        <f>2175/864000</f>
        <v>0.0025173611111111113</v>
      </c>
      <c r="U43" s="3">
        <f>4643/864000</f>
        <v>0.005373842592592592</v>
      </c>
      <c r="V43" s="3">
        <f>2438/864000</f>
        <v>0.002821759259259259</v>
      </c>
      <c r="W43" s="3">
        <f>2189/864000</f>
        <v>0.002533564814814815</v>
      </c>
      <c r="X43" s="3">
        <f>4596/864000</f>
        <v>0.005319444444444444</v>
      </c>
      <c r="Y43" s="3">
        <f>3029/864000</f>
        <v>0.003505787037037037</v>
      </c>
    </row>
    <row r="44" spans="1:25" ht="12.75">
      <c r="A44" s="1">
        <v>107</v>
      </c>
      <c r="B44" s="2" t="s">
        <v>107</v>
      </c>
      <c r="C44" s="2" t="s">
        <v>108</v>
      </c>
      <c r="D44" s="2" t="s">
        <v>40</v>
      </c>
      <c r="E44" s="11" t="s">
        <v>109</v>
      </c>
      <c r="F44" s="10">
        <f>1488/864000</f>
        <v>0.0017222222222222222</v>
      </c>
      <c r="G44" s="3">
        <f>1579/864000</f>
        <v>0.0018275462962962963</v>
      </c>
      <c r="H44" s="3">
        <f>6663/864000</f>
        <v>0.007711805555555556</v>
      </c>
      <c r="I44" s="3"/>
      <c r="J44" s="3">
        <f>6822/864000</f>
        <v>0.007895833333333333</v>
      </c>
      <c r="K44" s="3">
        <f>8598/864000</f>
        <v>0.009951388888888888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1">
        <v>108</v>
      </c>
      <c r="B45" s="2" t="s">
        <v>110</v>
      </c>
      <c r="C45" s="2" t="s">
        <v>111</v>
      </c>
      <c r="D45" s="2" t="s">
        <v>33</v>
      </c>
      <c r="E45" s="11" t="s">
        <v>112</v>
      </c>
      <c r="F45" s="10">
        <f>2105/864000</f>
        <v>0.0024363425925925924</v>
      </c>
      <c r="G45" s="3">
        <f>2085/864000</f>
        <v>0.0024131944444444444</v>
      </c>
      <c r="H45" s="3">
        <f>6978/864000</f>
        <v>0.008076388888888888</v>
      </c>
      <c r="I45" s="3"/>
      <c r="J45" s="3">
        <f>7218/864000</f>
        <v>0.008354166666666666</v>
      </c>
      <c r="K45" s="3">
        <f>8830/864000</f>
        <v>0.010219907407407407</v>
      </c>
      <c r="L45" s="3">
        <f>9399/864000</f>
        <v>0.010878472222222222</v>
      </c>
      <c r="M45" s="3">
        <f>6429/864000</f>
        <v>0.007440972222222222</v>
      </c>
      <c r="N45" s="3">
        <f>1836/864000</f>
        <v>0.002125</v>
      </c>
      <c r="O45" s="3">
        <f>2382/864000</f>
        <v>0.0027569444444444442</v>
      </c>
      <c r="P45" s="3">
        <f>1816/864000</f>
        <v>0.0021018518518518517</v>
      </c>
      <c r="Q45" s="3">
        <f>2340/864000</f>
        <v>0.0027083333333333334</v>
      </c>
      <c r="R45" s="3"/>
      <c r="S45" s="3"/>
      <c r="T45" s="3">
        <f>2217/864000</f>
        <v>0.002565972222222222</v>
      </c>
      <c r="U45" s="3">
        <f>5041/864000</f>
        <v>0.005834490740740741</v>
      </c>
      <c r="V45" s="12">
        <f>3072/864000</f>
        <v>0.0035555555555555557</v>
      </c>
      <c r="W45" s="12">
        <f>2731/864000</f>
        <v>0.00316087962962963</v>
      </c>
      <c r="X45" s="12">
        <f>5471/864000</f>
        <v>0.006332175925925926</v>
      </c>
      <c r="Y45" s="3">
        <f>3116/864000</f>
        <v>0.0036064814814814813</v>
      </c>
    </row>
    <row r="46" spans="1:25" ht="12.75">
      <c r="A46" s="1">
        <v>109</v>
      </c>
      <c r="B46" s="2" t="s">
        <v>113</v>
      </c>
      <c r="C46" s="2" t="s">
        <v>114</v>
      </c>
      <c r="D46" s="2" t="s">
        <v>46</v>
      </c>
      <c r="E46" s="11" t="s">
        <v>115</v>
      </c>
      <c r="F46" s="10">
        <f>1594/864000</f>
        <v>0.0018449074074074073</v>
      </c>
      <c r="G46" s="3">
        <f>1659/864000</f>
        <v>0.001920138888888889</v>
      </c>
      <c r="H46" s="3">
        <f>6919/864000</f>
        <v>0.008008101851851851</v>
      </c>
      <c r="I46" s="3"/>
      <c r="J46" s="3">
        <f>7121/864000</f>
        <v>0.008241898148148148</v>
      </c>
      <c r="K46" s="3">
        <f>9197/864000</f>
        <v>0.010644675925925925</v>
      </c>
      <c r="L46" s="3">
        <f>9550/864000</f>
        <v>0.01105324074074074</v>
      </c>
      <c r="M46" s="3">
        <f>6745/864000</f>
        <v>0.007806712962962963</v>
      </c>
      <c r="N46" s="3">
        <f>1887/864000</f>
        <v>0.002184027777777778</v>
      </c>
      <c r="O46" s="3">
        <f>2456/864000</f>
        <v>0.0028425925925925927</v>
      </c>
      <c r="P46" s="3">
        <f>1863/864000</f>
        <v>0.00215625</v>
      </c>
      <c r="Q46" s="3">
        <f>2462/864000</f>
        <v>0.002849537037037037</v>
      </c>
      <c r="R46" s="3"/>
      <c r="S46" s="3"/>
      <c r="T46" s="3">
        <f>2450/864000</f>
        <v>0.0028356481481481483</v>
      </c>
      <c r="U46" s="3">
        <f>5083/864000</f>
        <v>0.005883101851851852</v>
      </c>
      <c r="V46" s="3">
        <f>2678/864000</f>
        <v>0.003099537037037037</v>
      </c>
      <c r="W46" s="3">
        <f>2388/864000</f>
        <v>0.002763888888888889</v>
      </c>
      <c r="X46" s="3">
        <f>4985/864000</f>
        <v>0.0057696759259259255</v>
      </c>
      <c r="Y46" s="3">
        <f>3307/864000</f>
        <v>0.0038275462962962963</v>
      </c>
    </row>
    <row r="47" spans="1:25" ht="12.75">
      <c r="A47" s="1">
        <v>110</v>
      </c>
      <c r="B47" s="2" t="s">
        <v>116</v>
      </c>
      <c r="C47" s="2" t="s">
        <v>117</v>
      </c>
      <c r="D47" s="2" t="s">
        <v>46</v>
      </c>
      <c r="E47" s="11" t="s">
        <v>118</v>
      </c>
      <c r="F47" s="10">
        <f>1569/864000</f>
        <v>0.0018159722222222223</v>
      </c>
      <c r="G47" s="3">
        <f>1615/864000</f>
        <v>0.001869212962962963</v>
      </c>
      <c r="H47" s="3">
        <f>6436/864000</f>
        <v>0.007449074074074074</v>
      </c>
      <c r="I47" s="3"/>
      <c r="J47" s="3">
        <f>6677/864000</f>
        <v>0.007728009259259259</v>
      </c>
      <c r="K47" s="3">
        <f>8497/864000</f>
        <v>0.00983449074074074</v>
      </c>
      <c r="L47" s="3">
        <f>8961/864000</f>
        <v>0.010371527777777778</v>
      </c>
      <c r="M47" s="3">
        <f>6470/864000</f>
        <v>0.007488425925925926</v>
      </c>
      <c r="N47" s="3">
        <f>1867/864000</f>
        <v>0.0021608796296296298</v>
      </c>
      <c r="O47" s="3">
        <f>2393/864000</f>
        <v>0.002769675925925926</v>
      </c>
      <c r="P47" s="3">
        <f>1908/864000</f>
        <v>0.0022083333333333334</v>
      </c>
      <c r="Q47" s="3">
        <f>2404/864000</f>
        <v>0.0027824074074074075</v>
      </c>
      <c r="R47" s="3"/>
      <c r="S47" s="3"/>
      <c r="T47" s="3">
        <f>2293/864000</f>
        <v>0.0026539351851851854</v>
      </c>
      <c r="U47" s="3">
        <f>4784/864000</f>
        <v>0.005537037037037037</v>
      </c>
      <c r="V47" s="3">
        <f>2512/864000</f>
        <v>0.0029074074074074076</v>
      </c>
      <c r="W47" s="3">
        <f>2334/864000</f>
        <v>0.002701388888888889</v>
      </c>
      <c r="X47" s="3">
        <f>4867/864000</f>
        <v>0.005633101851851852</v>
      </c>
      <c r="Y47" s="3">
        <f>3286/864000</f>
        <v>0.0038032407407407407</v>
      </c>
    </row>
    <row r="48" spans="1:25" ht="12.75">
      <c r="A48" s="1">
        <v>111</v>
      </c>
      <c r="B48" s="2" t="s">
        <v>119</v>
      </c>
      <c r="C48" s="2" t="s">
        <v>119</v>
      </c>
      <c r="D48" s="2" t="s">
        <v>120</v>
      </c>
      <c r="E48" s="11" t="s">
        <v>121</v>
      </c>
      <c r="F48" s="10">
        <f>1651/864000</f>
        <v>0.0019108796296296296</v>
      </c>
      <c r="G48" s="3">
        <f>1707/864000</f>
        <v>0.0019756944444444444</v>
      </c>
      <c r="H48" s="3">
        <f>6693/864000</f>
        <v>0.0077465277777777775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1">
        <v>112</v>
      </c>
      <c r="B49" s="2" t="s">
        <v>80</v>
      </c>
      <c r="C49" s="2" t="s">
        <v>122</v>
      </c>
      <c r="D49" s="2" t="s">
        <v>123</v>
      </c>
      <c r="E49" s="11" t="s">
        <v>124</v>
      </c>
      <c r="F49" s="10">
        <f>1412/864000</f>
        <v>0.0016342592592592593</v>
      </c>
      <c r="G49" s="3">
        <f>1583/864000</f>
        <v>0.001832175925925926</v>
      </c>
      <c r="H49" s="12">
        <f>7278/864000</f>
        <v>0.008423611111111111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1">
        <v>113</v>
      </c>
      <c r="B50" s="2" t="s">
        <v>125</v>
      </c>
      <c r="C50" s="2" t="s">
        <v>126</v>
      </c>
      <c r="D50" s="2" t="s">
        <v>40</v>
      </c>
      <c r="E50" s="11" t="s">
        <v>127</v>
      </c>
      <c r="F50" s="10">
        <f>1636/864000</f>
        <v>0.0018935185185185186</v>
      </c>
      <c r="G50" s="3">
        <f>1736/864000</f>
        <v>0.0020092592592592592</v>
      </c>
      <c r="H50" s="3">
        <f>6936/864000</f>
        <v>0.008027777777777778</v>
      </c>
      <c r="I50" s="3"/>
      <c r="J50" s="3">
        <f>7393/864000</f>
        <v>0.008556712962962962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1">
        <v>114</v>
      </c>
      <c r="B51" s="2" t="s">
        <v>128</v>
      </c>
      <c r="C51" s="2" t="s">
        <v>129</v>
      </c>
      <c r="D51" s="2" t="s">
        <v>123</v>
      </c>
      <c r="E51" s="11" t="s">
        <v>124</v>
      </c>
      <c r="F51" s="10">
        <f>1514/864000</f>
        <v>0.0017523148148148148</v>
      </c>
      <c r="G51" s="3">
        <f>1572/864000</f>
        <v>0.0018194444444444445</v>
      </c>
      <c r="H51" s="3">
        <f>6669/864000</f>
        <v>0.00771875</v>
      </c>
      <c r="I51" s="3"/>
      <c r="J51" s="3">
        <f>6753/864000</f>
        <v>0.007815972222222222</v>
      </c>
      <c r="K51" s="3">
        <f>8645/864000</f>
        <v>0.010005787037037037</v>
      </c>
      <c r="L51" s="3">
        <f>8940/864000</f>
        <v>0.010347222222222223</v>
      </c>
      <c r="M51" s="3">
        <f>8221/864000</f>
        <v>0.009515046296296296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1">
        <v>115</v>
      </c>
      <c r="B52" s="2" t="s">
        <v>130</v>
      </c>
      <c r="C52" s="2" t="s">
        <v>130</v>
      </c>
      <c r="D52" s="2" t="s">
        <v>40</v>
      </c>
      <c r="E52" s="11" t="s">
        <v>131</v>
      </c>
      <c r="F52" s="10">
        <f>1644/864000</f>
        <v>0.0019027777777777778</v>
      </c>
      <c r="G52" s="12">
        <f>2385/864000</f>
        <v>0.0027604166666666667</v>
      </c>
      <c r="H52" s="12">
        <f>7278/864000</f>
        <v>0.008423611111111111</v>
      </c>
      <c r="I52" s="3"/>
      <c r="J52" s="3">
        <f>7188/864000</f>
        <v>0.008319444444444445</v>
      </c>
      <c r="K52" s="3">
        <f>8935/864000</f>
        <v>0.010341435185185184</v>
      </c>
      <c r="L52" s="3">
        <f>9632/864000</f>
        <v>0.011148148148148148</v>
      </c>
      <c r="M52" s="3">
        <f>6713/864000</f>
        <v>0.0077696759259259255</v>
      </c>
      <c r="N52" s="3">
        <f>1930/864000</f>
        <v>0.0022337962962962962</v>
      </c>
      <c r="O52" s="3">
        <f>2499/864000</f>
        <v>0.002892361111111111</v>
      </c>
      <c r="P52" s="3">
        <f>1944/864000</f>
        <v>0.00225</v>
      </c>
      <c r="Q52" s="3">
        <f>2520/864000</f>
        <v>0.002916666666666667</v>
      </c>
      <c r="R52" s="3"/>
      <c r="S52" s="3"/>
      <c r="T52" s="3">
        <f>2441/864000</f>
        <v>0.0028252314814814815</v>
      </c>
      <c r="U52" s="3">
        <f>5222/864000</f>
        <v>0.006043981481481482</v>
      </c>
      <c r="V52" s="3">
        <f>2772/864000</f>
        <v>0.0032083333333333334</v>
      </c>
      <c r="W52" s="3">
        <f>2428/864000</f>
        <v>0.002810185185185185</v>
      </c>
      <c r="X52" s="3">
        <f>5171/864000</f>
        <v>0.005984953703703704</v>
      </c>
      <c r="Y52" s="3">
        <f>3364/864000</f>
        <v>0.0038935185185185184</v>
      </c>
    </row>
    <row r="53" spans="1:25" ht="12.75">
      <c r="A53" s="1">
        <v>116</v>
      </c>
      <c r="B53" s="2" t="s">
        <v>132</v>
      </c>
      <c r="C53" s="2" t="s">
        <v>80</v>
      </c>
      <c r="D53" s="2" t="s">
        <v>33</v>
      </c>
      <c r="E53" s="11" t="s">
        <v>34</v>
      </c>
      <c r="F53" s="10">
        <f>1614/864000</f>
        <v>0.0018680555555555555</v>
      </c>
      <c r="G53" s="3">
        <f>1687/864000</f>
        <v>0.0019525462962962962</v>
      </c>
      <c r="H53" s="3">
        <f>6940/864000</f>
        <v>0.008032407407407408</v>
      </c>
      <c r="I53" s="3"/>
      <c r="J53" s="3">
        <f>7272/864000</f>
        <v>0.008416666666666666</v>
      </c>
      <c r="K53" s="3">
        <f>9376/864000</f>
        <v>0.010851851851851852</v>
      </c>
      <c r="L53" s="3">
        <f>9689/864000</f>
        <v>0.01121412037037037</v>
      </c>
      <c r="M53" s="3">
        <f>6962/864000</f>
        <v>0.00805787037037037</v>
      </c>
      <c r="N53" s="3">
        <f>1972/864000</f>
        <v>0.0022824074074074075</v>
      </c>
      <c r="O53" s="3">
        <f>2603/864000</f>
        <v>0.0030127314814814817</v>
      </c>
      <c r="P53" s="3">
        <f>1944/864000</f>
        <v>0.00225</v>
      </c>
      <c r="Q53" s="3">
        <f>2529/864000</f>
        <v>0.002927083333333333</v>
      </c>
      <c r="R53" s="3"/>
      <c r="S53" s="3"/>
      <c r="T53" s="3">
        <f>2483/864000</f>
        <v>0.0028738425925925928</v>
      </c>
      <c r="U53" s="3">
        <f>5022/864000</f>
        <v>0.0058125</v>
      </c>
      <c r="V53" s="3">
        <f>2727/864000</f>
        <v>0.00315625</v>
      </c>
      <c r="W53" s="3">
        <f>2431/864000</f>
        <v>0.0028136574074074075</v>
      </c>
      <c r="X53" s="3">
        <f>5070/864000</f>
        <v>0.005868055555555555</v>
      </c>
      <c r="Y53" s="3">
        <f>3401/864000</f>
        <v>0.003936342592592593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Garry</cp:lastModifiedBy>
  <dcterms:created xsi:type="dcterms:W3CDTF">2009-02-17T09:41:28Z</dcterms:created>
  <dcterms:modified xsi:type="dcterms:W3CDTF">2009-02-17T09:52:10Z</dcterms:modified>
  <cp:category/>
  <cp:version/>
  <cp:contentType/>
  <cp:contentStatus/>
</cp:coreProperties>
</file>